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enne_projektmappe"/>
  <mc:AlternateContent xmlns:mc="http://schemas.openxmlformats.org/markup-compatibility/2006">
    <mc:Choice Requires="x15">
      <x15ac:absPath xmlns:x15ac="http://schemas.microsoft.com/office/spreadsheetml/2010/11/ac" url="H:\_Alle_\Erling Ringgaard\Projekt\_Interne\_INT073FMM_Data matrix project\Piezo calculator\"/>
    </mc:Choice>
  </mc:AlternateContent>
  <xr:revisionPtr revIDLastSave="0" documentId="13_ncr:1_{99414E12-4D1A-4B6E-B586-7CC560D51BE8}" xr6:coauthVersionLast="47" xr6:coauthVersionMax="47" xr10:uidLastSave="{00000000-0000-0000-0000-000000000000}"/>
  <bookViews>
    <workbookView xWindow="390" yWindow="390" windowWidth="21180" windowHeight="15750" xr2:uid="{EEC8A33D-775A-4C90-A8E8-225DE43D7761}"/>
  </bookViews>
  <sheets>
    <sheet name="Disclaimer" sheetId="20" r:id="rId1"/>
    <sheet name="Front page" sheetId="9" r:id="rId2"/>
    <sheet name="Notes" sheetId="19" r:id="rId3"/>
    <sheet name="Sheet4" sheetId="18" state="hidden" r:id="rId4"/>
    <sheet name="Sheet5" sheetId="10" state="hidden" r:id="rId5"/>
    <sheet name="Sheet6" sheetId="11" state="hidden" r:id="rId6"/>
    <sheet name="Sheet7" sheetId="3" state="hidden" r:id="rId7"/>
    <sheet name="Sheet8" sheetId="2" state="hidden" r:id="rId8"/>
    <sheet name="Sheet9" sheetId="1" state="hidden" r:id="rId9"/>
    <sheet name="Sheet10" sheetId="4" state="hidden" r:id="rId10"/>
    <sheet name="Sheet11" sheetId="7" state="hidden" r:id="rId11"/>
    <sheet name="Sheet12" sheetId="6" state="hidden" r:id="rId12"/>
    <sheet name="Sheet13" sheetId="8" state="hidden" r:id="rId13"/>
  </sheets>
  <definedNames>
    <definedName name="_xlnm.Print_Area" localSheetId="1">'Front page'!$H$4:$J$43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9" l="1"/>
  <c r="C13" i="9"/>
  <c r="C12" i="9"/>
  <c r="N15" i="10" l="1"/>
  <c r="N13" i="10"/>
  <c r="K15" i="10"/>
  <c r="F14" i="9" s="1"/>
  <c r="K13" i="10"/>
  <c r="F12" i="9" s="1"/>
  <c r="K3" i="10"/>
  <c r="K7" i="10" s="1"/>
  <c r="K9" i="10"/>
  <c r="K5" i="10"/>
  <c r="K8" i="10"/>
  <c r="K6" i="10" l="1"/>
  <c r="K11" i="10" s="1"/>
  <c r="N14" i="10" s="1"/>
  <c r="K4" i="10"/>
  <c r="Z29" i="8"/>
  <c r="Z28" i="8"/>
  <c r="AD30" i="8" l="1"/>
  <c r="AC30" i="8"/>
  <c r="AB30" i="8"/>
  <c r="AA30" i="8"/>
  <c r="Z30" i="8"/>
  <c r="X30" i="8"/>
  <c r="W30" i="8"/>
  <c r="R30" i="8"/>
  <c r="Q30" i="8"/>
  <c r="P30" i="8"/>
  <c r="O30" i="8"/>
  <c r="N30" i="8"/>
  <c r="M30" i="8"/>
  <c r="L30" i="8"/>
  <c r="K30" i="8"/>
  <c r="J30" i="8"/>
  <c r="I30" i="8"/>
  <c r="H30" i="8"/>
  <c r="G30" i="8"/>
  <c r="D30" i="8"/>
  <c r="C30" i="8"/>
  <c r="C84" i="11" l="1"/>
  <c r="B17" i="1" s="1"/>
  <c r="C83" i="11"/>
  <c r="B16" i="1" s="1"/>
  <c r="C82" i="11"/>
  <c r="B15" i="1" s="1"/>
  <c r="C81" i="11"/>
  <c r="B14" i="1" s="1"/>
  <c r="AH71" i="8" l="1"/>
  <c r="C76" i="11" l="1"/>
  <c r="C75" i="11"/>
  <c r="C80" i="11" l="1"/>
  <c r="B17" i="2" s="1"/>
  <c r="C79" i="11"/>
  <c r="B16" i="2" s="1"/>
  <c r="C77" i="11"/>
  <c r="B14" i="2" s="1"/>
  <c r="C78" i="11"/>
  <c r="B15" i="2" s="1"/>
  <c r="AS63" i="8" l="1"/>
  <c r="AR63" i="8"/>
  <c r="AS62" i="8"/>
  <c r="AR62" i="8"/>
  <c r="AS61" i="8"/>
  <c r="AR61" i="8"/>
  <c r="AS60" i="8"/>
  <c r="AR60" i="8"/>
  <c r="AP63" i="8"/>
  <c r="AO63" i="8"/>
  <c r="AP62" i="8"/>
  <c r="AO62" i="8"/>
  <c r="AP61" i="8"/>
  <c r="AO61" i="8"/>
  <c r="AP60" i="8"/>
  <c r="AO60" i="8"/>
  <c r="AM63" i="8"/>
  <c r="AL63" i="8"/>
  <c r="AK63" i="8"/>
  <c r="AJ63" i="8"/>
  <c r="AI63" i="8"/>
  <c r="AH63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AM62" i="8"/>
  <c r="AL62" i="8"/>
  <c r="AK62" i="8"/>
  <c r="AJ62" i="8"/>
  <c r="AI62" i="8"/>
  <c r="AH62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AM61" i="8"/>
  <c r="AL61" i="8"/>
  <c r="AK61" i="8"/>
  <c r="AJ61" i="8"/>
  <c r="AI61" i="8"/>
  <c r="AH61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AM60" i="8"/>
  <c r="AL60" i="8"/>
  <c r="AK60" i="8"/>
  <c r="AJ60" i="8"/>
  <c r="AI60" i="8"/>
  <c r="AH60" i="8"/>
  <c r="AG60" i="8"/>
  <c r="AF60" i="8"/>
  <c r="AE60" i="8"/>
  <c r="AD60" i="8"/>
  <c r="AC60" i="8"/>
  <c r="AB60" i="8"/>
  <c r="AA60" i="8"/>
  <c r="Z60" i="8"/>
  <c r="Y60" i="8"/>
  <c r="X60" i="8"/>
  <c r="W60" i="8"/>
  <c r="C68" i="11" s="1"/>
  <c r="V60" i="8"/>
  <c r="U60" i="8"/>
  <c r="T60" i="8"/>
  <c r="S60" i="8"/>
  <c r="R63" i="8"/>
  <c r="R62" i="8"/>
  <c r="R61" i="8"/>
  <c r="R60" i="8"/>
  <c r="C71" i="11"/>
  <c r="C70" i="11"/>
  <c r="C69" i="11"/>
  <c r="C67" i="11"/>
  <c r="C66" i="11"/>
  <c r="C65" i="11"/>
  <c r="C64" i="11"/>
  <c r="C63" i="11"/>
  <c r="C62" i="11"/>
  <c r="C61" i="11"/>
  <c r="C60" i="11"/>
  <c r="C59" i="11"/>
  <c r="C58" i="11"/>
  <c r="C57" i="11"/>
  <c r="C56" i="11"/>
  <c r="C55" i="11"/>
  <c r="C54" i="11"/>
  <c r="C53" i="11"/>
  <c r="C52" i="11"/>
  <c r="C51" i="11"/>
  <c r="C50" i="11"/>
  <c r="C49" i="11"/>
  <c r="C48" i="11"/>
  <c r="C47" i="11"/>
  <c r="C46" i="11"/>
  <c r="AV32" i="8"/>
  <c r="AU32" i="8"/>
  <c r="AT32" i="8"/>
  <c r="AS32" i="8"/>
  <c r="AV31" i="8"/>
  <c r="AU31" i="8"/>
  <c r="AT31" i="8"/>
  <c r="AS31" i="8"/>
  <c r="AQ32" i="8"/>
  <c r="AP32" i="8"/>
  <c r="AQ31" i="8"/>
  <c r="AP31" i="8"/>
  <c r="AN32" i="8"/>
  <c r="AM32" i="8"/>
  <c r="AL32" i="8"/>
  <c r="AN31" i="8"/>
  <c r="AM31" i="8"/>
  <c r="AL31" i="8"/>
  <c r="AD32" i="8"/>
  <c r="AC32" i="8"/>
  <c r="AD31" i="8"/>
  <c r="AC31" i="8"/>
  <c r="AA32" i="8"/>
  <c r="Z32" i="8"/>
  <c r="AA31" i="8"/>
  <c r="Z31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B37" i="8" l="1"/>
  <c r="AR32" i="8" s="1"/>
  <c r="Y37" i="8"/>
  <c r="X37" i="8"/>
  <c r="W37" i="8"/>
  <c r="E13" i="9"/>
  <c r="C45" i="11"/>
  <c r="C44" i="11"/>
  <c r="C43" i="11"/>
  <c r="C42" i="11"/>
  <c r="C41" i="11"/>
  <c r="C40" i="11"/>
  <c r="B13" i="2" s="1"/>
  <c r="C39" i="11"/>
  <c r="C38" i="11"/>
  <c r="C37" i="11"/>
  <c r="C36" i="11"/>
  <c r="C35" i="11"/>
  <c r="C34" i="11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0" i="11"/>
  <c r="AO32" i="8"/>
  <c r="AG31" i="8" l="1"/>
  <c r="AH31" i="8"/>
  <c r="AJ31" i="8"/>
  <c r="AF31" i="8"/>
  <c r="AE31" i="8"/>
  <c r="AK31" i="8"/>
  <c r="B13" i="1"/>
  <c r="B15" i="6"/>
  <c r="V3" i="18"/>
  <c r="F3" i="18"/>
  <c r="J3" i="18"/>
  <c r="R3" i="18"/>
  <c r="B3" i="18"/>
  <c r="N3" i="18"/>
  <c r="B22" i="3"/>
  <c r="B8" i="3"/>
  <c r="B9" i="7"/>
  <c r="B9" i="2"/>
  <c r="B11" i="6"/>
  <c r="B12" i="3"/>
  <c r="B6" i="3"/>
  <c r="B7" i="3"/>
  <c r="B18" i="3"/>
  <c r="B17" i="3"/>
  <c r="B20" i="7"/>
  <c r="B21" i="3"/>
  <c r="C28" i="3"/>
  <c r="C30" i="3"/>
  <c r="C38" i="3"/>
  <c r="C37" i="3"/>
  <c r="C33" i="3"/>
  <c r="H25" i="9" s="1"/>
  <c r="C29" i="3"/>
  <c r="F4" i="10"/>
  <c r="F5" i="10"/>
  <c r="C33" i="1"/>
  <c r="C30" i="1"/>
  <c r="C28" i="1"/>
  <c r="C29" i="1"/>
  <c r="C37" i="1"/>
  <c r="C38" i="1"/>
  <c r="P2" i="10"/>
  <c r="P6" i="10" s="1"/>
  <c r="C28" i="4"/>
  <c r="C29" i="4"/>
  <c r="C30" i="4"/>
  <c r="C38" i="4"/>
  <c r="C37" i="4"/>
  <c r="C33" i="4"/>
  <c r="C28" i="2"/>
  <c r="C29" i="2"/>
  <c r="C30" i="2"/>
  <c r="C38" i="2"/>
  <c r="C37" i="2"/>
  <c r="C33" i="2"/>
  <c r="C30" i="7"/>
  <c r="C39" i="7"/>
  <c r="C29" i="7"/>
  <c r="C33" i="7"/>
  <c r="C28" i="7"/>
  <c r="C38" i="7"/>
  <c r="C37" i="7"/>
  <c r="C29" i="6"/>
  <c r="C28" i="6"/>
  <c r="C39" i="6"/>
  <c r="C33" i="6"/>
  <c r="C30" i="6"/>
  <c r="C38" i="6"/>
  <c r="C37" i="6"/>
  <c r="F11" i="1" l="1"/>
  <c r="F13" i="1" s="1"/>
  <c r="F34" i="1" s="1"/>
  <c r="F11" i="2"/>
  <c r="AH72" i="8"/>
  <c r="AH69" i="8"/>
  <c r="AH70" i="8"/>
  <c r="F8" i="2"/>
  <c r="G11" i="18" s="1"/>
  <c r="F7" i="3"/>
  <c r="C5" i="18" s="1"/>
  <c r="F15" i="3"/>
  <c r="C26" i="18" s="1"/>
  <c r="F8" i="3"/>
  <c r="C8" i="18" s="1"/>
  <c r="I10" i="9" s="1"/>
  <c r="H11" i="9" s="1"/>
  <c r="K10" i="10"/>
  <c r="K14" i="10" s="1"/>
  <c r="F31" i="2"/>
  <c r="B13" i="3"/>
  <c r="F28" i="1"/>
  <c r="F29" i="1" s="1"/>
  <c r="F30" i="1"/>
  <c r="B13" i="4"/>
  <c r="F28" i="2"/>
  <c r="B11" i="7"/>
  <c r="B10" i="4"/>
  <c r="F8" i="4" s="1"/>
  <c r="B10" i="6"/>
  <c r="B10" i="7"/>
  <c r="B23" i="1"/>
  <c r="F19" i="1" s="1"/>
  <c r="B21" i="6"/>
  <c r="B19" i="4"/>
  <c r="B19" i="6"/>
  <c r="F12" i="6" s="1"/>
  <c r="W19" i="18" s="1"/>
  <c r="B9" i="1"/>
  <c r="F9" i="1" s="1"/>
  <c r="B18" i="4"/>
  <c r="F11" i="4" s="1"/>
  <c r="B21" i="1"/>
  <c r="F16" i="1" s="1"/>
  <c r="B18" i="6"/>
  <c r="B21" i="7"/>
  <c r="B16" i="18"/>
  <c r="N16" i="18"/>
  <c r="F7" i="10"/>
  <c r="E9" i="10" s="1"/>
  <c r="D32" i="9" s="1"/>
  <c r="P7" i="10"/>
  <c r="J16" i="18"/>
  <c r="F12" i="3"/>
  <c r="C18" i="18" s="1"/>
  <c r="R16" i="18"/>
  <c r="F16" i="18"/>
  <c r="V16" i="18"/>
  <c r="F11" i="3"/>
  <c r="C17" i="18" s="1"/>
  <c r="B10" i="3"/>
  <c r="B18" i="7"/>
  <c r="B21" i="2"/>
  <c r="B8" i="2"/>
  <c r="B22" i="7"/>
  <c r="F16" i="7" s="1"/>
  <c r="B22" i="4"/>
  <c r="B9" i="3"/>
  <c r="B8" i="1"/>
  <c r="B9" i="4"/>
  <c r="B9" i="6"/>
  <c r="B22" i="6"/>
  <c r="B21" i="4"/>
  <c r="F16" i="4" s="1"/>
  <c r="B23" i="2"/>
  <c r="F19" i="2" s="1"/>
  <c r="B20" i="1"/>
  <c r="B19" i="7"/>
  <c r="F11" i="7" s="1"/>
  <c r="S19" i="18" s="1"/>
  <c r="B12" i="4"/>
  <c r="B7" i="6"/>
  <c r="B7" i="7"/>
  <c r="B17" i="6"/>
  <c r="B8" i="6"/>
  <c r="B20" i="6"/>
  <c r="B12" i="6"/>
  <c r="B22" i="2"/>
  <c r="F18" i="2" s="1"/>
  <c r="B20" i="4"/>
  <c r="F14" i="4" s="1"/>
  <c r="B22" i="1"/>
  <c r="F18" i="1" s="1"/>
  <c r="B7" i="4"/>
  <c r="F7" i="4" s="1"/>
  <c r="B17" i="4"/>
  <c r="F13" i="4" s="1"/>
  <c r="O21" i="18" s="1"/>
  <c r="B20" i="2"/>
  <c r="B7" i="1"/>
  <c r="F7" i="1" s="1"/>
  <c r="B17" i="7"/>
  <c r="B8" i="7"/>
  <c r="B12" i="7"/>
  <c r="F9" i="7" s="1"/>
  <c r="B20" i="3"/>
  <c r="F14" i="3" s="1"/>
  <c r="B7" i="2"/>
  <c r="F7" i="2" s="1"/>
  <c r="B19" i="3"/>
  <c r="B8" i="4"/>
  <c r="P9" i="10"/>
  <c r="P5" i="10"/>
  <c r="B6" i="1"/>
  <c r="B6" i="6"/>
  <c r="F7" i="6" s="1"/>
  <c r="B6" i="7"/>
  <c r="F7" i="7" s="1"/>
  <c r="B10" i="2"/>
  <c r="P8" i="10"/>
  <c r="P10" i="10"/>
  <c r="B6" i="4"/>
  <c r="B10" i="1"/>
  <c r="B6" i="2"/>
  <c r="B11" i="4"/>
  <c r="B11" i="3"/>
  <c r="F12" i="1" l="1"/>
  <c r="F33" i="1" s="1"/>
  <c r="F35" i="1" s="1"/>
  <c r="F15" i="1" s="1"/>
  <c r="K17" i="18" s="1"/>
  <c r="F13" i="2"/>
  <c r="F16" i="2" s="1"/>
  <c r="G18" i="18" s="1"/>
  <c r="I27" i="9" s="1"/>
  <c r="F12" i="2"/>
  <c r="K12" i="18"/>
  <c r="F9" i="4"/>
  <c r="O13" i="18" s="1"/>
  <c r="I20" i="9" s="1"/>
  <c r="H21" i="9" s="1"/>
  <c r="F12" i="4"/>
  <c r="O20" i="18" s="1"/>
  <c r="I29" i="9" s="1"/>
  <c r="F8" i="6"/>
  <c r="W14" i="18" s="1"/>
  <c r="I22" i="9" s="1"/>
  <c r="F15" i="4"/>
  <c r="O25" i="18" s="1"/>
  <c r="I34" i="9" s="1"/>
  <c r="S27" i="18"/>
  <c r="F16" i="6"/>
  <c r="W27" i="18" s="1"/>
  <c r="I36" i="9" s="1"/>
  <c r="S14" i="18"/>
  <c r="O12" i="18"/>
  <c r="I18" i="9" s="1"/>
  <c r="H19" i="9" s="1"/>
  <c r="C24" i="18"/>
  <c r="O26" i="18"/>
  <c r="O19" i="18"/>
  <c r="I28" i="9" s="1"/>
  <c r="K24" i="18"/>
  <c r="K21" i="18"/>
  <c r="I30" i="9" s="1"/>
  <c r="G24" i="18"/>
  <c r="G26" i="18"/>
  <c r="F13" i="9"/>
  <c r="K5" i="18"/>
  <c r="S5" i="18"/>
  <c r="G5" i="18"/>
  <c r="O5" i="18"/>
  <c r="W5" i="18"/>
  <c r="B14" i="4"/>
  <c r="B14" i="3"/>
  <c r="K26" i="18"/>
  <c r="F31" i="1"/>
  <c r="B18" i="1" s="1"/>
  <c r="B19" i="1" s="1"/>
  <c r="F10" i="1" s="1"/>
  <c r="K10" i="18" s="1"/>
  <c r="B11" i="1"/>
  <c r="F29" i="2"/>
  <c r="B18" i="2" s="1"/>
  <c r="B19" i="2" s="1"/>
  <c r="F30" i="2"/>
  <c r="B11" i="2" s="1"/>
  <c r="E8" i="10"/>
  <c r="D27" i="9" s="1"/>
  <c r="H5" i="9"/>
  <c r="O24" i="18"/>
  <c r="F34" i="2" l="1"/>
  <c r="F33" i="2"/>
  <c r="I33" i="9"/>
  <c r="F10" i="4"/>
  <c r="O9" i="18" s="1"/>
  <c r="I35" i="9"/>
  <c r="F10" i="2"/>
  <c r="G10" i="18" s="1"/>
  <c r="F9" i="3"/>
  <c r="C9" i="18" s="1"/>
  <c r="I7" i="9"/>
  <c r="B12" i="2"/>
  <c r="F9" i="2" s="1"/>
  <c r="B12" i="1"/>
  <c r="F35" i="2" l="1"/>
  <c r="F15" i="2" s="1"/>
  <c r="G17" i="18" s="1"/>
  <c r="I26" i="9" s="1"/>
  <c r="I14" i="9"/>
  <c r="H15" i="9" s="1"/>
  <c r="F8" i="1"/>
  <c r="K11" i="18" s="1"/>
  <c r="I16" i="9" s="1"/>
  <c r="H17" i="9" s="1"/>
  <c r="G9" i="18"/>
  <c r="I12" i="9" s="1"/>
  <c r="H13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User</author>
  </authors>
  <commentList>
    <comment ref="C26" authorId="0" shapeId="0" xr:uid="{00000000-0006-0000-0100-000004000000}">
      <text>
        <r>
          <rPr>
            <sz val="10"/>
            <color indexed="81"/>
            <rFont val="Tahoma"/>
            <family val="2"/>
          </rPr>
          <t>Voltage applied between the two electrodes of the  part</t>
        </r>
      </text>
    </comment>
    <comment ref="C33" authorId="0" shapeId="0" xr:uid="{00000000-0006-0000-0100-000005000000}">
      <text>
        <r>
          <rPr>
            <sz val="10"/>
            <color indexed="81"/>
            <rFont val="Tahoma"/>
            <family val="2"/>
          </rPr>
          <t>Force applied perpendicular to poling field</t>
        </r>
      </text>
    </comment>
    <comment ref="H33" authorId="0" shapeId="0" xr:uid="{00000000-0006-0000-0100-000008000000}">
      <text>
        <r>
          <rPr>
            <sz val="10"/>
            <color indexed="81"/>
            <rFont val="Tahoma"/>
            <family val="2"/>
          </rPr>
          <t xml:space="preserve">Output voltage between electrodes if a "planar force" is applied on diameter or length
</t>
        </r>
      </text>
    </comment>
    <comment ref="C34" authorId="0" shapeId="0" xr:uid="{00000000-0006-0000-0100-000006000000}">
      <text>
        <r>
          <rPr>
            <sz val="10"/>
            <color indexed="81"/>
            <rFont val="Tahoma"/>
            <family val="2"/>
          </rPr>
          <t>Force applied parallel to poling field</t>
        </r>
      </text>
    </comment>
    <comment ref="H34" authorId="0" shapeId="0" xr:uid="{AAB0BAF4-6F23-4B8E-A0F6-BADE8ED64908}">
      <text>
        <r>
          <rPr>
            <sz val="10"/>
            <color indexed="81"/>
            <rFont val="Tahoma"/>
            <family val="2"/>
          </rPr>
          <t xml:space="preserve">Output voltage between electrodes if a "planar force" is applied on diameter or length
</t>
        </r>
      </text>
    </comment>
    <comment ref="C35" authorId="0" shapeId="0" xr:uid="{00000000-0006-0000-0100-000007000000}">
      <text>
        <r>
          <rPr>
            <sz val="10"/>
            <color indexed="81"/>
            <rFont val="Tahoma"/>
            <family val="2"/>
          </rPr>
          <t>Shear force applied parallel to poling field and parallel to electrodes. Only relevant for parts in shear configuration.</t>
        </r>
      </text>
    </comment>
    <comment ref="H35" authorId="0" shapeId="0" xr:uid="{6F52F9AA-CD6C-462D-8932-55E0AC593A40}">
      <text>
        <r>
          <rPr>
            <sz val="10"/>
            <color indexed="81"/>
            <rFont val="Tahoma"/>
            <family val="2"/>
          </rPr>
          <t xml:space="preserve">Output voltage between electrodes if a "planar force" is applied on diameter or length
</t>
        </r>
      </text>
    </comment>
    <comment ref="H36" authorId="0" shapeId="0" xr:uid="{1AF83A10-5E6F-4763-88C3-AE12ED0C874E}">
      <text>
        <r>
          <rPr>
            <sz val="10"/>
            <color indexed="81"/>
            <rFont val="Tahoma"/>
            <family val="2"/>
          </rPr>
          <t xml:space="preserve">Output voltage between electrodes if a "planar force" is applied on diameter or length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Unknown User</author>
  </authors>
  <commentList>
    <comment ref="B24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Output voltage between electrodes if a "planar force" is applied on diameter or length
</t>
        </r>
      </text>
    </comment>
    <comment ref="F24" authorId="0" shapeId="0" xr:uid="{00000000-0006-0000-0B00-000002000000}">
      <text>
        <r>
          <rPr>
            <sz val="8"/>
            <color indexed="81"/>
            <rFont val="Tahoma"/>
            <family val="2"/>
          </rPr>
          <t xml:space="preserve">Output voltage between electrodes if a "planar force" is applied on diameter or length
</t>
        </r>
      </text>
    </comment>
    <comment ref="J24" authorId="0" shapeId="0" xr:uid="{00000000-0006-0000-0B00-000003000000}">
      <text>
        <r>
          <rPr>
            <sz val="8"/>
            <color indexed="81"/>
            <rFont val="Tahoma"/>
            <family val="2"/>
          </rPr>
          <t xml:space="preserve">Output voltage between electrodes if a "planar force" is applied on diameter or length
</t>
        </r>
      </text>
    </comment>
    <comment ref="N24" authorId="0" shapeId="0" xr:uid="{00000000-0006-0000-0B00-000004000000}">
      <text>
        <r>
          <rPr>
            <sz val="8"/>
            <color indexed="81"/>
            <rFont val="Tahoma"/>
            <family val="2"/>
          </rPr>
          <t xml:space="preserve">Output voltage between electrodes if a "planar force" is applied on diameter or length
</t>
        </r>
      </text>
    </comment>
    <comment ref="R24" authorId="0" shapeId="0" xr:uid="{00000000-0006-0000-0B00-000005000000}">
      <text>
        <r>
          <rPr>
            <sz val="8"/>
            <color indexed="81"/>
            <rFont val="Tahoma"/>
            <family val="2"/>
          </rPr>
          <t xml:space="preserve">Output voltage between electrodes if a "planar force" is applied on diameter or length
</t>
        </r>
      </text>
    </comment>
    <comment ref="V24" authorId="0" shapeId="0" xr:uid="{00000000-0006-0000-0B00-000006000000}">
      <text>
        <r>
          <rPr>
            <sz val="8"/>
            <color indexed="81"/>
            <rFont val="Tahoma"/>
            <family val="2"/>
          </rPr>
          <t xml:space="preserve">Output voltage between electrodes if a "planar force" is applied on diameter or length
</t>
        </r>
      </text>
    </comment>
    <comment ref="B25" authorId="0" shapeId="0" xr:uid="{00000000-0006-0000-0B00-000007000000}">
      <text>
        <r>
          <rPr>
            <sz val="8"/>
            <color indexed="81"/>
            <rFont val="Tahoma"/>
            <family val="2"/>
          </rPr>
          <t>Output voltage between electrodes if "planar force" is applied in width direction</t>
        </r>
        <r>
          <rPr>
            <sz val="8"/>
            <color indexed="81"/>
            <rFont val="Tahoma"/>
            <family val="2"/>
          </rPr>
          <t xml:space="preserve">
Only relevant for plates</t>
        </r>
      </text>
    </comment>
    <comment ref="F25" authorId="0" shapeId="0" xr:uid="{00000000-0006-0000-0B00-000008000000}">
      <text>
        <r>
          <rPr>
            <sz val="8"/>
            <color indexed="81"/>
            <rFont val="Tahoma"/>
            <family val="2"/>
          </rPr>
          <t>Output voltage between electrodes if "planar force" is applied in width direction</t>
        </r>
        <r>
          <rPr>
            <sz val="8"/>
            <color indexed="81"/>
            <rFont val="Tahoma"/>
            <family val="2"/>
          </rPr>
          <t xml:space="preserve">
Only relevant for plates</t>
        </r>
      </text>
    </comment>
    <comment ref="J25" authorId="0" shapeId="0" xr:uid="{00000000-0006-0000-0B00-000009000000}">
      <text>
        <r>
          <rPr>
            <sz val="8"/>
            <color indexed="81"/>
            <rFont val="Tahoma"/>
            <family val="2"/>
          </rPr>
          <t>Output voltage between electrodes if "planar force" is applied in width direction</t>
        </r>
        <r>
          <rPr>
            <sz val="8"/>
            <color indexed="81"/>
            <rFont val="Tahoma"/>
            <family val="2"/>
          </rPr>
          <t xml:space="preserve">
Only relevant for plates</t>
        </r>
      </text>
    </comment>
    <comment ref="N25" authorId="0" shapeId="0" xr:uid="{00000000-0006-0000-0B00-00000A000000}">
      <text>
        <r>
          <rPr>
            <sz val="8"/>
            <color indexed="81"/>
            <rFont val="Tahoma"/>
            <family val="2"/>
          </rPr>
          <t>Output voltage between electrodes if "planar force" is applied in width direction</t>
        </r>
        <r>
          <rPr>
            <sz val="8"/>
            <color indexed="81"/>
            <rFont val="Tahoma"/>
            <family val="2"/>
          </rPr>
          <t xml:space="preserve">
Only relevant for plates</t>
        </r>
      </text>
    </comment>
    <comment ref="R25" authorId="0" shapeId="0" xr:uid="{00000000-0006-0000-0B00-00000B000000}">
      <text>
        <r>
          <rPr>
            <sz val="8"/>
            <color indexed="81"/>
            <rFont val="Tahoma"/>
            <family val="2"/>
          </rPr>
          <t>Output voltage between electrodes if "planar force" is applied in width direction</t>
        </r>
        <r>
          <rPr>
            <sz val="8"/>
            <color indexed="81"/>
            <rFont val="Tahoma"/>
            <family val="2"/>
          </rPr>
          <t xml:space="preserve">
Only relevant for plates</t>
        </r>
      </text>
    </comment>
    <comment ref="V25" authorId="0" shapeId="0" xr:uid="{00000000-0006-0000-0B00-00000C000000}">
      <text>
        <r>
          <rPr>
            <sz val="8"/>
            <color indexed="81"/>
            <rFont val="Tahoma"/>
            <family val="2"/>
          </rPr>
          <t>Output voltage between electrodes if "planar force" is applied in width direction</t>
        </r>
        <r>
          <rPr>
            <sz val="8"/>
            <color indexed="81"/>
            <rFont val="Tahoma"/>
            <family val="2"/>
          </rPr>
          <t xml:space="preserve">
Only relevant for plates</t>
        </r>
      </text>
    </comment>
    <comment ref="B26" authorId="0" shapeId="0" xr:uid="{00000000-0006-0000-0B00-00000D000000}">
      <text>
        <r>
          <rPr>
            <sz val="8"/>
            <color indexed="81"/>
            <rFont val="Tahoma"/>
            <family val="2"/>
          </rPr>
          <t>Output voltage between electrodes if a "thickness force" is applied in the thickness or heigth  (tubes) direction</t>
        </r>
      </text>
    </comment>
    <comment ref="F26" authorId="0" shapeId="0" xr:uid="{00000000-0006-0000-0B00-00000E000000}">
      <text>
        <r>
          <rPr>
            <sz val="8"/>
            <color indexed="81"/>
            <rFont val="Tahoma"/>
            <family val="2"/>
          </rPr>
          <t>Output voltage between electrodes if a "thickness force" is applied in the thickness or heigth  (tubes) direction</t>
        </r>
      </text>
    </comment>
    <comment ref="J26" authorId="0" shapeId="0" xr:uid="{00000000-0006-0000-0B00-00000F000000}">
      <text>
        <r>
          <rPr>
            <sz val="8"/>
            <color indexed="81"/>
            <rFont val="Tahoma"/>
            <family val="2"/>
          </rPr>
          <t>Output voltage between electrodes if a "thickness force" is applied in the thickness or heigth  (tubes) direction</t>
        </r>
      </text>
    </comment>
    <comment ref="N26" authorId="0" shapeId="0" xr:uid="{00000000-0006-0000-0B00-000010000000}">
      <text>
        <r>
          <rPr>
            <sz val="8"/>
            <color indexed="81"/>
            <rFont val="Tahoma"/>
            <family val="2"/>
          </rPr>
          <t>Output voltage between electrodes if a "thickness force" is applied in the thickness or heigth  (tubes) direction</t>
        </r>
      </text>
    </comment>
    <comment ref="R26" authorId="0" shapeId="0" xr:uid="{00000000-0006-0000-0B00-000011000000}">
      <text>
        <r>
          <rPr>
            <sz val="8"/>
            <color indexed="81"/>
            <rFont val="Tahoma"/>
            <family val="2"/>
          </rPr>
          <t>Output voltage between electrodes if a "thickness force" is applied in the thickness or heigth  (tubes) direction</t>
        </r>
      </text>
    </comment>
    <comment ref="V26" authorId="0" shapeId="0" xr:uid="{00000000-0006-0000-0B00-000012000000}">
      <text>
        <r>
          <rPr>
            <sz val="8"/>
            <color indexed="81"/>
            <rFont val="Tahoma"/>
            <family val="2"/>
          </rPr>
          <t>Output voltage between electrodes if a "thickness force" is applied in the thickness or heigth  (tubes) direction</t>
        </r>
      </text>
    </comment>
    <comment ref="B27" authorId="0" shapeId="0" xr:uid="{00000000-0006-0000-0B00-000013000000}">
      <text>
        <r>
          <rPr>
            <sz val="8"/>
            <color indexed="81"/>
            <rFont val="Tahoma"/>
            <family val="2"/>
          </rPr>
          <t xml:space="preserve">Output voltage between electrodes if "shar force" is applied on a shaer part.
</t>
        </r>
      </text>
    </comment>
    <comment ref="F27" authorId="0" shapeId="0" xr:uid="{00000000-0006-0000-0B00-000014000000}">
      <text>
        <r>
          <rPr>
            <sz val="8"/>
            <color indexed="81"/>
            <rFont val="Tahoma"/>
            <family val="2"/>
          </rPr>
          <t xml:space="preserve">Output voltage between electrodes if "shar force" is applied on a shaer part.
</t>
        </r>
      </text>
    </comment>
    <comment ref="J27" authorId="0" shapeId="0" xr:uid="{00000000-0006-0000-0B00-000015000000}">
      <text>
        <r>
          <rPr>
            <sz val="8"/>
            <color indexed="81"/>
            <rFont val="Tahoma"/>
            <family val="2"/>
          </rPr>
          <t xml:space="preserve">Output voltage between electrodes if "shar force" is applied on a shaer part.
</t>
        </r>
      </text>
    </comment>
    <comment ref="N27" authorId="0" shapeId="0" xr:uid="{00000000-0006-0000-0B00-000016000000}">
      <text>
        <r>
          <rPr>
            <sz val="8"/>
            <color indexed="81"/>
            <rFont val="Tahoma"/>
            <family val="2"/>
          </rPr>
          <t xml:space="preserve">Output voltage between electrodes if "shar force" is applied on a shaer part.
</t>
        </r>
      </text>
    </comment>
    <comment ref="R27" authorId="0" shapeId="0" xr:uid="{00000000-0006-0000-0B00-000017000000}">
      <text>
        <r>
          <rPr>
            <sz val="8"/>
            <color indexed="81"/>
            <rFont val="Tahoma"/>
            <family val="2"/>
          </rPr>
          <t xml:space="preserve">Output voltage between electrodes if "shar force" is applied on a shaer part.
</t>
        </r>
      </text>
    </comment>
    <comment ref="V27" authorId="0" shapeId="0" xr:uid="{00000000-0006-0000-0B00-000018000000}">
      <text>
        <r>
          <rPr>
            <sz val="8"/>
            <color indexed="81"/>
            <rFont val="Tahoma"/>
            <family val="2"/>
          </rPr>
          <t xml:space="preserve">Output voltage between electrodes if "shar force" is applied on a shaer part.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Erling Ringgaard</author>
  </authors>
  <commentList>
    <comment ref="A69" authorId="0" shapeId="0" xr:uid="{7D667B42-1E7C-4D97-A593-3FACBB6131B0}">
      <text>
        <r>
          <rPr>
            <b/>
            <sz val="9"/>
            <color indexed="81"/>
            <rFont val="Tahoma"/>
            <family val="2"/>
          </rPr>
          <t>Erling Ringgaard:</t>
        </r>
        <r>
          <rPr>
            <sz val="9"/>
            <color indexed="81"/>
            <rFont val="Tahoma"/>
            <family val="2"/>
          </rPr>
          <t xml:space="preserve">
Medium diameter frequency constant for rings, min. value</t>
        </r>
      </text>
    </comment>
    <comment ref="A70" authorId="0" shapeId="0" xr:uid="{3A040696-2BC6-4ECE-AC22-0F7A4AF148E4}">
      <text>
        <r>
          <rPr>
            <b/>
            <sz val="9"/>
            <color indexed="81"/>
            <rFont val="Tahoma"/>
            <family val="2"/>
          </rPr>
          <t>Erling Ringgaard:</t>
        </r>
        <r>
          <rPr>
            <sz val="9"/>
            <color indexed="81"/>
            <rFont val="Tahoma"/>
            <family val="2"/>
          </rPr>
          <t xml:space="preserve">
Medium diameter frequency constant for rings, max. value</t>
        </r>
      </text>
    </comment>
    <comment ref="A71" authorId="0" shapeId="0" xr:uid="{3E2EB90E-5A4B-4722-A4A1-07C2A66FEC61}">
      <text>
        <r>
          <rPr>
            <b/>
            <sz val="9"/>
            <color indexed="81"/>
            <rFont val="Tahoma"/>
            <family val="2"/>
          </rPr>
          <t>Erling Ringgaard:</t>
        </r>
        <r>
          <rPr>
            <sz val="9"/>
            <color indexed="81"/>
            <rFont val="Tahoma"/>
            <family val="2"/>
          </rPr>
          <t xml:space="preserve">
Slope of (Δ</t>
        </r>
        <r>
          <rPr>
            <vertAlign val="subscript"/>
            <sz val="9"/>
            <color indexed="81"/>
            <rFont val="Tahoma"/>
            <family val="2"/>
          </rPr>
          <t>r</t>
        </r>
        <r>
          <rPr>
            <i/>
            <sz val="9"/>
            <color indexed="81"/>
            <rFont val="Tahoma"/>
            <family val="2"/>
          </rPr>
          <t>D</t>
        </r>
        <r>
          <rPr>
            <sz val="9"/>
            <color indexed="81"/>
            <rFont val="Tahoma"/>
            <family val="2"/>
          </rPr>
          <t>,</t>
        </r>
        <r>
          <rPr>
            <i/>
            <sz val="9"/>
            <color indexed="81"/>
            <rFont val="Tahoma"/>
            <family val="2"/>
          </rPr>
          <t>N</t>
        </r>
        <r>
          <rPr>
            <vertAlign val="subscript"/>
            <sz val="9"/>
            <color indexed="81"/>
            <rFont val="Tahoma"/>
            <family val="2"/>
          </rPr>
          <t>cr</t>
        </r>
        <r>
          <rPr>
            <sz val="9"/>
            <color indexed="81"/>
            <rFont val="Tahoma"/>
            <family val="2"/>
          </rPr>
          <t>)</t>
        </r>
      </text>
    </comment>
    <comment ref="A73" authorId="0" shapeId="0" xr:uid="{DC6694C3-E5B7-43F0-8F0C-19FA796D32FE}">
      <text>
        <r>
          <rPr>
            <b/>
            <sz val="9"/>
            <color indexed="81"/>
            <rFont val="Tahoma"/>
            <family val="2"/>
          </rPr>
          <t>Erling Ringgaard:</t>
        </r>
        <r>
          <rPr>
            <sz val="9"/>
            <color indexed="81"/>
            <rFont val="Tahoma"/>
            <family val="2"/>
          </rPr>
          <t xml:space="preserve">
Medium diameter frequency constant for tubes, min. value</t>
        </r>
      </text>
    </comment>
    <comment ref="A74" authorId="0" shapeId="0" xr:uid="{DBD0DDAD-FA23-4BAF-AFFC-2D691AF843A3}">
      <text>
        <r>
          <rPr>
            <b/>
            <sz val="9"/>
            <color indexed="81"/>
            <rFont val="Tahoma"/>
            <family val="2"/>
          </rPr>
          <t>Erling Ringgaard:</t>
        </r>
        <r>
          <rPr>
            <sz val="9"/>
            <color indexed="81"/>
            <rFont val="Tahoma"/>
            <family val="2"/>
          </rPr>
          <t xml:space="preserve">
Medium diameter frequency constant for tubes, max. value</t>
        </r>
      </text>
    </comment>
    <comment ref="A75" authorId="0" shapeId="0" xr:uid="{F56D38EF-52CC-4862-9D6A-D19DBBE45BA5}">
      <text>
        <r>
          <rPr>
            <b/>
            <sz val="9"/>
            <color indexed="81"/>
            <rFont val="Tahoma"/>
            <family val="2"/>
          </rPr>
          <t>Erling Ringgaard:</t>
        </r>
        <r>
          <rPr>
            <sz val="9"/>
            <color indexed="81"/>
            <rFont val="Tahoma"/>
            <family val="2"/>
          </rPr>
          <t xml:space="preserve">
Slope of (</t>
        </r>
        <r>
          <rPr>
            <i/>
            <sz val="9"/>
            <color indexed="81"/>
            <rFont val="Tahoma"/>
            <family val="2"/>
          </rPr>
          <t>h</t>
        </r>
        <r>
          <rPr>
            <vertAlign val="subscript"/>
            <sz val="9"/>
            <color indexed="81"/>
            <rFont val="Tahoma"/>
            <family val="2"/>
          </rPr>
          <t>wt</t>
        </r>
        <r>
          <rPr>
            <sz val="9"/>
            <color indexed="81"/>
            <rFont val="Tahoma"/>
            <family val="2"/>
          </rPr>
          <t>/&lt;</t>
        </r>
        <r>
          <rPr>
            <i/>
            <sz val="9"/>
            <color indexed="81"/>
            <rFont val="Tahoma"/>
            <family val="2"/>
          </rPr>
          <t>D</t>
        </r>
        <r>
          <rPr>
            <sz val="9"/>
            <color indexed="81"/>
            <rFont val="Tahoma"/>
            <family val="2"/>
          </rPr>
          <t>&gt;,</t>
        </r>
        <r>
          <rPr>
            <i/>
            <sz val="9"/>
            <color indexed="81"/>
            <rFont val="Tahoma"/>
            <family val="2"/>
          </rPr>
          <t>N</t>
        </r>
        <r>
          <rPr>
            <vertAlign val="subscript"/>
            <sz val="9"/>
            <color indexed="81"/>
            <rFont val="Tahoma"/>
            <family val="2"/>
          </rPr>
          <t>ct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<sst xmlns="http://schemas.openxmlformats.org/spreadsheetml/2006/main" count="1233" uniqueCount="374">
  <si>
    <t>mm</t>
  </si>
  <si>
    <t>Calculation of tubes</t>
  </si>
  <si>
    <t>pF</t>
  </si>
  <si>
    <t>kHz</t>
  </si>
  <si>
    <t>Calculation of discs</t>
  </si>
  <si>
    <t>Thickness resonance</t>
  </si>
  <si>
    <t>Symbol</t>
  </si>
  <si>
    <t>Unit</t>
  </si>
  <si>
    <t>Pz21</t>
  </si>
  <si>
    <t>Pz23</t>
  </si>
  <si>
    <t>Pz24</t>
  </si>
  <si>
    <t>Pz26</t>
  </si>
  <si>
    <t xml:space="preserve">Pz27 </t>
  </si>
  <si>
    <t>Pz28</t>
  </si>
  <si>
    <t>Pz29</t>
  </si>
  <si>
    <t>Pz34</t>
  </si>
  <si>
    <t>Pz46</t>
  </si>
  <si>
    <t>ºC</t>
  </si>
  <si>
    <t>C/N</t>
  </si>
  <si>
    <t>V m/N</t>
  </si>
  <si>
    <t>V/m</t>
  </si>
  <si>
    <t>m/s</t>
  </si>
  <si>
    <t>r</t>
  </si>
  <si>
    <t>GPa</t>
  </si>
  <si>
    <t>Materials</t>
  </si>
  <si>
    <t>Valgt materiale</t>
  </si>
  <si>
    <t>Shape</t>
  </si>
  <si>
    <t>Disc</t>
  </si>
  <si>
    <t>Ring</t>
  </si>
  <si>
    <t>Plate</t>
  </si>
  <si>
    <t>Tube</t>
  </si>
  <si>
    <t>Shear Tube</t>
  </si>
  <si>
    <t>Shear Plate</t>
  </si>
  <si>
    <t>Value</t>
  </si>
  <si>
    <t>Relevante konstanter</t>
  </si>
  <si>
    <t>Beregninger</t>
  </si>
  <si>
    <t>Planar Resonance</t>
  </si>
  <si>
    <t>Dimensioner</t>
  </si>
  <si>
    <t>Voltage</t>
  </si>
  <si>
    <t>Static Signal</t>
  </si>
  <si>
    <t>Dimensions</t>
  </si>
  <si>
    <t>Static Displacement</t>
  </si>
  <si>
    <t>delta r</t>
  </si>
  <si>
    <t>delta t</t>
  </si>
  <si>
    <t>U_ thickness force</t>
  </si>
  <si>
    <t>U_ planar force</t>
  </si>
  <si>
    <t>m</t>
  </si>
  <si>
    <t>Applied Planar Force</t>
  </si>
  <si>
    <t>Applied Thickness Force</t>
  </si>
  <si>
    <t>Length resonance</t>
  </si>
  <si>
    <t>Geometri</t>
  </si>
  <si>
    <t>Dim 1</t>
  </si>
  <si>
    <t>Dim 2</t>
  </si>
  <si>
    <t>Dim 3</t>
  </si>
  <si>
    <t>delta dim 1</t>
  </si>
  <si>
    <t>delta dim 2</t>
  </si>
  <si>
    <t>U_ planar 1</t>
  </si>
  <si>
    <t>delta l</t>
  </si>
  <si>
    <t>U_ shear</t>
  </si>
  <si>
    <t>Applied Shear Force</t>
  </si>
  <si>
    <t>delta L</t>
  </si>
  <si>
    <t>N_MD-tube</t>
  </si>
  <si>
    <t>Kontrol for både kraft og spænding</t>
  </si>
  <si>
    <t>1= sand , 0= falsk</t>
  </si>
  <si>
    <t>Spænding</t>
  </si>
  <si>
    <t>Kraft</t>
  </si>
  <si>
    <t>Beregning af Elektrisk felt</t>
  </si>
  <si>
    <t>Dimension</t>
  </si>
  <si>
    <t>felt</t>
  </si>
  <si>
    <t>Volt</t>
  </si>
  <si>
    <t>Volt/mm</t>
  </si>
  <si>
    <t>Disc valgt?</t>
  </si>
  <si>
    <t>sum</t>
  </si>
  <si>
    <t xml:space="preserve">Voltage output  </t>
  </si>
  <si>
    <t>U_ shear force</t>
  </si>
  <si>
    <t>Calculation of rings</t>
  </si>
  <si>
    <t>Calculation of plates</t>
  </si>
  <si>
    <t>Calculation of shear plates</t>
  </si>
  <si>
    <t>Calculation of shear tubes</t>
  </si>
  <si>
    <t>Pz27</t>
  </si>
  <si>
    <t>N/A</t>
  </si>
  <si>
    <t>Possible resonances</t>
  </si>
  <si>
    <t>Planar</t>
  </si>
  <si>
    <t>Thickness</t>
  </si>
  <si>
    <t xml:space="preserve">Medium Diameter </t>
  </si>
  <si>
    <t xml:space="preserve">Wall Thickness </t>
  </si>
  <si>
    <t>Length</t>
  </si>
  <si>
    <t>Width</t>
  </si>
  <si>
    <t>Shear</t>
  </si>
  <si>
    <t>Back to calculator</t>
  </si>
  <si>
    <t>Results</t>
  </si>
  <si>
    <t>Simple geometries with fully covering electrodes.</t>
  </si>
  <si>
    <t>No cross-coupling between two resonances close to each other.</t>
  </si>
  <si>
    <t>The main assumptions are:</t>
  </si>
  <si>
    <t>To obtain the highest possible accuracy in calculations</t>
  </si>
  <si>
    <t>Input Data</t>
  </si>
  <si>
    <t>Shear Resonance</t>
  </si>
  <si>
    <t>No cross-coupling between overtones from one resonance and a higher fundamental mode.</t>
  </si>
  <si>
    <t>Capacitance at 1 kHz</t>
  </si>
  <si>
    <t>Click here for further information</t>
  </si>
  <si>
    <t>Choose moderate electrical voltages to avoid non-linear behaviour. Soft materials are much more non-linear than hard types.</t>
  </si>
  <si>
    <t>Choose moderate mechanical stresses to avoid non-linear behaviour. Soft materials are much more non-linear than hard types.</t>
  </si>
  <si>
    <t>CONTINUE TO CALCULATIONS</t>
  </si>
  <si>
    <t>Planar resonance</t>
  </si>
  <si>
    <t>Lin. regression</t>
  </si>
  <si>
    <t>IMPORTANT NOTES ABOUT THE SPREADSHEET</t>
  </si>
  <si>
    <t>µm</t>
  </si>
  <si>
    <t>V</t>
  </si>
  <si>
    <t>N</t>
  </si>
  <si>
    <t>Pz37</t>
  </si>
  <si>
    <t>Pz54</t>
  </si>
  <si>
    <t>Pz89</t>
  </si>
  <si>
    <t>Pz94</t>
  </si>
  <si>
    <t xml:space="preserve">Please also see the notes to this spreadsheet regarding assumptions and limitations. </t>
  </si>
  <si>
    <t>CTS Piezoelectric Calculator</t>
  </si>
  <si>
    <t>CTS Piezoelectric Calculator is a simple tool to help get an initial estimation of various parameters in a piezoelectric part.</t>
  </si>
  <si>
    <t xml:space="preserve">The results should however only be taken as an indication and a basis for discussion with CTS. </t>
  </si>
  <si>
    <t>Parts are vibrating freely and have no stress in other directions than the selected one.</t>
  </si>
  <si>
    <t>ρ</t>
  </si>
  <si>
    <t>Tabel for materialekonstanter</t>
  </si>
  <si>
    <t>K1000</t>
  </si>
  <si>
    <t>K1100</t>
  </si>
  <si>
    <t>K1250</t>
  </si>
  <si>
    <t>K1300</t>
  </si>
  <si>
    <t>K1450HD</t>
  </si>
  <si>
    <t>3195STD</t>
  </si>
  <si>
    <t>3195HD</t>
  </si>
  <si>
    <t>4196HD</t>
  </si>
  <si>
    <t>3219HD</t>
  </si>
  <si>
    <t>3222HD</t>
  </si>
  <si>
    <t>3221HD</t>
  </si>
  <si>
    <t>3203STD</t>
  </si>
  <si>
    <t>3203HD</t>
  </si>
  <si>
    <t>3257HD</t>
  </si>
  <si>
    <t>3265HD</t>
  </si>
  <si>
    <t>NCE81</t>
  </si>
  <si>
    <t>NCE40</t>
  </si>
  <si>
    <t>NCE41</t>
  </si>
  <si>
    <t>NCE51</t>
  </si>
  <si>
    <t>NCE55</t>
  </si>
  <si>
    <t>NCE56</t>
  </si>
  <si>
    <t>3241HD</t>
  </si>
  <si>
    <t>Pz12</t>
  </si>
  <si>
    <t>Pz12X</t>
  </si>
  <si>
    <t>Pz62</t>
  </si>
  <si>
    <t>Pz36</t>
  </si>
  <si>
    <t>Pz39</t>
  </si>
  <si>
    <t>LF52</t>
  </si>
  <si>
    <t>LF51</t>
  </si>
  <si>
    <t>LF22</t>
  </si>
  <si>
    <t>LF41</t>
  </si>
  <si>
    <t>SC_PMN-28% PT_A</t>
  </si>
  <si>
    <t>SC_PMN-32% PT_B</t>
  </si>
  <si>
    <t>SC_PIN_24% PMN-PT</t>
  </si>
  <si>
    <t>Width resonace</t>
  </si>
  <si>
    <t/>
  </si>
  <si>
    <t>&gt;135</t>
  </si>
  <si>
    <t>This spreadsheet is constructed by use of simple, linear formulae for calculation of capacitance, resonances, displacements and output signals.</t>
  </si>
  <si>
    <t>Δthickness</t>
  </si>
  <si>
    <t>Δlength</t>
  </si>
  <si>
    <t>Δwidth</t>
  </si>
  <si>
    <t>Δheight</t>
  </si>
  <si>
    <t xml:space="preserve">Medium diameter </t>
  </si>
  <si>
    <t xml:space="preserve">Wall thickness </t>
  </si>
  <si>
    <t>Applied planar force</t>
  </si>
  <si>
    <t>Applied thickness force</t>
  </si>
  <si>
    <t>Applied shear force</t>
  </si>
  <si>
    <t>Choose dimensions as far apart as possible. Example: Ring of 40 mm x 10 mm x 1 mm will give more accurate resonance calculations than a 12 mm x 11 mm x 10 mm ring.</t>
  </si>
  <si>
    <t>Results should only be used as general guidelines in the design phase.</t>
  </si>
  <si>
    <t>h</t>
  </si>
  <si>
    <t>Lineær regression</t>
  </si>
  <si>
    <t>Medium diameter resonance</t>
  </si>
  <si>
    <t>D</t>
  </si>
  <si>
    <t>Cylinder/disc, bar/plate etc.</t>
  </si>
  <si>
    <t>Ark for valgte parametre</t>
  </si>
  <si>
    <t>Valgt geometri</t>
  </si>
  <si>
    <t>Middeldiameter-resonans for ring</t>
  </si>
  <si>
    <t>L</t>
  </si>
  <si>
    <t>W</t>
  </si>
  <si>
    <t>Th</t>
  </si>
  <si>
    <t>Public Domain</t>
  </si>
  <si>
    <t>Wall thickness resonance</t>
  </si>
  <si>
    <t>Middeldiameter-resonans for rør</t>
  </si>
  <si>
    <t>F/m</t>
  </si>
  <si>
    <t>Dimension 2 not used for discs</t>
  </si>
  <si>
    <t>ID &gt;= OD?</t>
  </si>
  <si>
    <t>Ringe og rør</t>
  </si>
  <si>
    <t>ID requirement: 0 &lt; ID &lt; OD</t>
  </si>
  <si>
    <t>Sel!B4=1 &amp; Dim2 &lt;&gt; 0</t>
  </si>
  <si>
    <t>Sel!B4 {2,3,6} &amp;  NOT(0 &lt; ID &lt; OD)</t>
  </si>
  <si>
    <t>Dim2 &lt;&gt; 0</t>
  </si>
  <si>
    <t>Sum_disc</t>
  </si>
  <si>
    <t>ID &lt;= 0</t>
  </si>
  <si>
    <t>Prod_ID</t>
  </si>
  <si>
    <t>Tekst2:</t>
  </si>
  <si>
    <t>Kontrol af Dim1, Dim2 og Dim3</t>
  </si>
  <si>
    <t>Positive number required</t>
  </si>
  <si>
    <t>Tekst1:</t>
  </si>
  <si>
    <t>Tekst3:</t>
  </si>
  <si>
    <t>Sel!B4 {4,5} &amp; ID &lt;= 0)</t>
  </si>
  <si>
    <t>Form</t>
  </si>
  <si>
    <t>Ring el. rør</t>
  </si>
  <si>
    <t>Plade</t>
  </si>
  <si>
    <t>Dim. OK</t>
  </si>
  <si>
    <t>U_planar 2</t>
  </si>
  <si>
    <r>
      <rPr>
        <i/>
        <sz val="10"/>
        <color theme="0"/>
        <rFont val="Arial"/>
        <family val="2"/>
      </rPr>
      <t>ε</t>
    </r>
    <r>
      <rPr>
        <vertAlign val="subscript"/>
        <sz val="10"/>
        <color theme="0"/>
        <rFont val="Arial"/>
        <family val="2"/>
      </rPr>
      <t>11,r</t>
    </r>
    <r>
      <rPr>
        <i/>
        <vertAlign val="superscript"/>
        <sz val="10"/>
        <color theme="0"/>
        <rFont val="Arial"/>
        <family val="2"/>
      </rPr>
      <t>σ</t>
    </r>
  </si>
  <si>
    <r>
      <rPr>
        <i/>
        <sz val="10"/>
        <color theme="0"/>
        <rFont val="Arial"/>
        <family val="2"/>
      </rPr>
      <t>ε</t>
    </r>
    <r>
      <rPr>
        <vertAlign val="subscript"/>
        <sz val="10"/>
        <color theme="0"/>
        <rFont val="Arial"/>
        <family val="2"/>
      </rPr>
      <t>33,r</t>
    </r>
    <r>
      <rPr>
        <i/>
        <vertAlign val="superscript"/>
        <sz val="10"/>
        <color theme="0"/>
        <rFont val="Arial"/>
        <family val="2"/>
      </rPr>
      <t>σ</t>
    </r>
  </si>
  <si>
    <r>
      <rPr>
        <i/>
        <sz val="10"/>
        <color theme="0"/>
        <rFont val="Arial"/>
        <family val="2"/>
      </rPr>
      <t>ε</t>
    </r>
    <r>
      <rPr>
        <vertAlign val="subscript"/>
        <sz val="10"/>
        <color theme="0"/>
        <rFont val="Arial"/>
        <family val="2"/>
      </rPr>
      <t>11,r</t>
    </r>
    <r>
      <rPr>
        <i/>
        <vertAlign val="superscript"/>
        <sz val="10"/>
        <color theme="0"/>
        <rFont val="Arial"/>
        <family val="2"/>
      </rPr>
      <t>S</t>
    </r>
  </si>
  <si>
    <r>
      <rPr>
        <i/>
        <sz val="10"/>
        <color theme="0"/>
        <rFont val="Arial"/>
        <family val="2"/>
      </rPr>
      <t>ε</t>
    </r>
    <r>
      <rPr>
        <vertAlign val="subscript"/>
        <sz val="10"/>
        <color theme="0"/>
        <rFont val="Arial"/>
        <family val="2"/>
      </rPr>
      <t>33,r</t>
    </r>
    <r>
      <rPr>
        <i/>
        <vertAlign val="superscript"/>
        <sz val="10"/>
        <color theme="0"/>
        <rFont val="Arial"/>
        <family val="2"/>
      </rPr>
      <t>S</t>
    </r>
  </si>
  <si>
    <r>
      <t xml:space="preserve">tan </t>
    </r>
    <r>
      <rPr>
        <i/>
        <sz val="10"/>
        <color theme="0"/>
        <rFont val="Arial"/>
        <family val="2"/>
      </rPr>
      <t>δ</t>
    </r>
    <r>
      <rPr>
        <vertAlign val="subscript"/>
        <sz val="10"/>
        <color theme="0"/>
        <rFont val="Arial"/>
        <family val="2"/>
      </rPr>
      <t>33</t>
    </r>
    <r>
      <rPr>
        <i/>
        <vertAlign val="superscript"/>
        <sz val="10"/>
        <color theme="0"/>
        <rFont val="Arial"/>
        <family val="2"/>
      </rPr>
      <t>σ</t>
    </r>
  </si>
  <si>
    <r>
      <t>T</t>
    </r>
    <r>
      <rPr>
        <vertAlign val="subscript"/>
        <sz val="10"/>
        <color theme="0"/>
        <rFont val="Arial"/>
        <family val="2"/>
      </rPr>
      <t>C</t>
    </r>
    <r>
      <rPr>
        <sz val="10"/>
        <color theme="0"/>
        <rFont val="Arial"/>
        <family val="2"/>
      </rPr>
      <t xml:space="preserve"> &gt;</t>
    </r>
  </si>
  <si>
    <r>
      <t>k</t>
    </r>
    <r>
      <rPr>
        <vertAlign val="subscript"/>
        <sz val="10"/>
        <color theme="0"/>
        <rFont val="Arial"/>
        <family val="2"/>
      </rPr>
      <t>p</t>
    </r>
  </si>
  <si>
    <r>
      <t>k</t>
    </r>
    <r>
      <rPr>
        <vertAlign val="subscript"/>
        <sz val="10"/>
        <color theme="0"/>
        <rFont val="Arial"/>
        <family val="2"/>
      </rPr>
      <t>t</t>
    </r>
  </si>
  <si>
    <r>
      <t>k</t>
    </r>
    <r>
      <rPr>
        <vertAlign val="subscript"/>
        <sz val="10"/>
        <color theme="0"/>
        <rFont val="Arial"/>
        <family val="2"/>
      </rPr>
      <t>31</t>
    </r>
  </si>
  <si>
    <r>
      <t>k</t>
    </r>
    <r>
      <rPr>
        <vertAlign val="subscript"/>
        <sz val="10"/>
        <color theme="0"/>
        <rFont val="Arial"/>
        <family val="2"/>
      </rPr>
      <t>33</t>
    </r>
  </si>
  <si>
    <r>
      <t>k</t>
    </r>
    <r>
      <rPr>
        <vertAlign val="subscript"/>
        <sz val="10"/>
        <color theme="0"/>
        <rFont val="Arial"/>
        <family val="2"/>
      </rPr>
      <t>15</t>
    </r>
  </si>
  <si>
    <r>
      <t>d</t>
    </r>
    <r>
      <rPr>
        <vertAlign val="subscript"/>
        <sz val="10"/>
        <color theme="0"/>
        <rFont val="Arial"/>
        <family val="2"/>
      </rPr>
      <t>31</t>
    </r>
  </si>
  <si>
    <r>
      <t>d</t>
    </r>
    <r>
      <rPr>
        <vertAlign val="subscript"/>
        <sz val="10"/>
        <color theme="0"/>
        <rFont val="Arial"/>
        <family val="2"/>
      </rPr>
      <t>33</t>
    </r>
  </si>
  <si>
    <r>
      <t>d</t>
    </r>
    <r>
      <rPr>
        <vertAlign val="subscript"/>
        <sz val="10"/>
        <color theme="0"/>
        <rFont val="Arial"/>
        <family val="2"/>
      </rPr>
      <t>15</t>
    </r>
  </si>
  <si>
    <r>
      <t>g</t>
    </r>
    <r>
      <rPr>
        <vertAlign val="subscript"/>
        <sz val="10"/>
        <color theme="0"/>
        <rFont val="Arial"/>
        <family val="2"/>
      </rPr>
      <t>31</t>
    </r>
  </si>
  <si>
    <r>
      <t>g</t>
    </r>
    <r>
      <rPr>
        <vertAlign val="subscript"/>
        <sz val="10"/>
        <color theme="0"/>
        <rFont val="Arial"/>
        <family val="2"/>
      </rPr>
      <t>33</t>
    </r>
  </si>
  <si>
    <r>
      <t>g</t>
    </r>
    <r>
      <rPr>
        <vertAlign val="subscript"/>
        <sz val="10"/>
        <color theme="0"/>
        <rFont val="Arial"/>
        <family val="2"/>
      </rPr>
      <t>15</t>
    </r>
  </si>
  <si>
    <r>
      <t>e</t>
    </r>
    <r>
      <rPr>
        <vertAlign val="subscript"/>
        <sz val="10"/>
        <color theme="0"/>
        <rFont val="Arial"/>
        <family val="2"/>
      </rPr>
      <t>31</t>
    </r>
  </si>
  <si>
    <r>
      <t>C/m</t>
    </r>
    <r>
      <rPr>
        <vertAlign val="superscript"/>
        <sz val="10"/>
        <color theme="0"/>
        <rFont val="Arial"/>
        <family val="2"/>
      </rPr>
      <t>2</t>
    </r>
  </si>
  <si>
    <r>
      <t>e</t>
    </r>
    <r>
      <rPr>
        <vertAlign val="subscript"/>
        <sz val="10"/>
        <color theme="0"/>
        <rFont val="Arial"/>
        <family val="2"/>
      </rPr>
      <t>33</t>
    </r>
  </si>
  <si>
    <r>
      <t>e</t>
    </r>
    <r>
      <rPr>
        <vertAlign val="subscript"/>
        <sz val="10"/>
        <color theme="0"/>
        <rFont val="Arial"/>
        <family val="2"/>
      </rPr>
      <t>15</t>
    </r>
  </si>
  <si>
    <r>
      <t>h</t>
    </r>
    <r>
      <rPr>
        <vertAlign val="subscript"/>
        <sz val="10"/>
        <color theme="0"/>
        <rFont val="Arial"/>
        <family val="2"/>
      </rPr>
      <t>31</t>
    </r>
  </si>
  <si>
    <r>
      <t>h</t>
    </r>
    <r>
      <rPr>
        <vertAlign val="subscript"/>
        <sz val="10"/>
        <color theme="0"/>
        <rFont val="Arial"/>
        <family val="2"/>
      </rPr>
      <t>33</t>
    </r>
  </si>
  <si>
    <r>
      <t>h</t>
    </r>
    <r>
      <rPr>
        <vertAlign val="subscript"/>
        <sz val="10"/>
        <color theme="0"/>
        <rFont val="Arial"/>
        <family val="2"/>
      </rPr>
      <t>15</t>
    </r>
  </si>
  <si>
    <r>
      <t>N</t>
    </r>
    <r>
      <rPr>
        <vertAlign val="subscript"/>
        <sz val="10"/>
        <color theme="0"/>
        <rFont val="Arial"/>
        <family val="2"/>
      </rPr>
      <t>p</t>
    </r>
  </si>
  <si>
    <r>
      <t>N</t>
    </r>
    <r>
      <rPr>
        <vertAlign val="subscript"/>
        <sz val="10"/>
        <color theme="0"/>
        <rFont val="Arial"/>
        <family val="2"/>
      </rPr>
      <t>t</t>
    </r>
  </si>
  <si>
    <r>
      <t>N</t>
    </r>
    <r>
      <rPr>
        <vertAlign val="subscript"/>
        <sz val="10"/>
        <color theme="0"/>
        <rFont val="Arial"/>
        <family val="2"/>
      </rPr>
      <t>31</t>
    </r>
  </si>
  <si>
    <r>
      <t>N</t>
    </r>
    <r>
      <rPr>
        <vertAlign val="subscript"/>
        <sz val="10"/>
        <color theme="0"/>
        <rFont val="Arial"/>
        <family val="2"/>
      </rPr>
      <t>33</t>
    </r>
  </si>
  <si>
    <r>
      <t>N</t>
    </r>
    <r>
      <rPr>
        <vertAlign val="subscript"/>
        <sz val="10"/>
        <color theme="0"/>
        <rFont val="Arial"/>
        <family val="2"/>
      </rPr>
      <t>15</t>
    </r>
  </si>
  <si>
    <r>
      <t>N</t>
    </r>
    <r>
      <rPr>
        <vertAlign val="subscript"/>
        <sz val="10"/>
        <color theme="0"/>
        <rFont val="Arial"/>
        <family val="2"/>
      </rPr>
      <t>c,ring</t>
    </r>
  </si>
  <si>
    <r>
      <t>N</t>
    </r>
    <r>
      <rPr>
        <vertAlign val="subscript"/>
        <sz val="10"/>
        <color theme="0"/>
        <rFont val="Arial"/>
        <family val="2"/>
      </rPr>
      <t>c,tube</t>
    </r>
  </si>
  <si>
    <r>
      <t>Q</t>
    </r>
    <r>
      <rPr>
        <vertAlign val="subscript"/>
        <sz val="10"/>
        <color theme="0"/>
        <rFont val="Arial"/>
        <family val="2"/>
      </rPr>
      <t>m,p</t>
    </r>
  </si>
  <si>
    <r>
      <t>Q</t>
    </r>
    <r>
      <rPr>
        <vertAlign val="subscript"/>
        <sz val="10"/>
        <color theme="0"/>
        <rFont val="Arial"/>
        <family val="2"/>
      </rPr>
      <t>m,t</t>
    </r>
  </si>
  <si>
    <r>
      <t>kg/m</t>
    </r>
    <r>
      <rPr>
        <vertAlign val="superscript"/>
        <sz val="10"/>
        <color theme="0"/>
        <rFont val="Arial"/>
        <family val="2"/>
      </rPr>
      <t>3</t>
    </r>
  </si>
  <si>
    <r>
      <t>s</t>
    </r>
    <r>
      <rPr>
        <i/>
        <vertAlign val="superscript"/>
        <sz val="10"/>
        <color theme="0"/>
        <rFont val="Arial"/>
        <family val="2"/>
      </rPr>
      <t>E</t>
    </r>
  </si>
  <si>
    <r>
      <t>s</t>
    </r>
    <r>
      <rPr>
        <vertAlign val="subscript"/>
        <sz val="10"/>
        <color theme="0"/>
        <rFont val="Arial"/>
        <family val="2"/>
      </rPr>
      <t>11</t>
    </r>
    <r>
      <rPr>
        <i/>
        <vertAlign val="superscript"/>
        <sz val="10"/>
        <color theme="0"/>
        <rFont val="Arial"/>
        <family val="2"/>
      </rPr>
      <t>E</t>
    </r>
  </si>
  <si>
    <r>
      <t>m</t>
    </r>
    <r>
      <rPr>
        <vertAlign val="superscript"/>
        <sz val="10"/>
        <color theme="0"/>
        <rFont val="Arial"/>
        <family val="2"/>
      </rPr>
      <t>2</t>
    </r>
    <r>
      <rPr>
        <sz val="10"/>
        <color theme="0"/>
        <rFont val="Arial"/>
        <family val="2"/>
      </rPr>
      <t>/N</t>
    </r>
  </si>
  <si>
    <r>
      <t>s</t>
    </r>
    <r>
      <rPr>
        <vertAlign val="subscript"/>
        <sz val="10"/>
        <color theme="0"/>
        <rFont val="Arial"/>
        <family val="2"/>
      </rPr>
      <t>12</t>
    </r>
    <r>
      <rPr>
        <i/>
        <vertAlign val="superscript"/>
        <sz val="10"/>
        <color theme="0"/>
        <rFont val="Arial"/>
        <family val="2"/>
      </rPr>
      <t>E</t>
    </r>
  </si>
  <si>
    <r>
      <t>s</t>
    </r>
    <r>
      <rPr>
        <vertAlign val="subscript"/>
        <sz val="10"/>
        <color theme="0"/>
        <rFont val="Arial"/>
        <family val="2"/>
      </rPr>
      <t>13</t>
    </r>
    <r>
      <rPr>
        <i/>
        <vertAlign val="superscript"/>
        <sz val="10"/>
        <color theme="0"/>
        <rFont val="Arial"/>
        <family val="2"/>
      </rPr>
      <t>E</t>
    </r>
  </si>
  <si>
    <r>
      <t>s</t>
    </r>
    <r>
      <rPr>
        <vertAlign val="subscript"/>
        <sz val="10"/>
        <color theme="0"/>
        <rFont val="Arial"/>
        <family val="2"/>
      </rPr>
      <t>33</t>
    </r>
    <r>
      <rPr>
        <i/>
        <vertAlign val="superscript"/>
        <sz val="10"/>
        <color theme="0"/>
        <rFont val="Arial"/>
        <family val="2"/>
      </rPr>
      <t>E</t>
    </r>
  </si>
  <si>
    <r>
      <t>s</t>
    </r>
    <r>
      <rPr>
        <vertAlign val="subscript"/>
        <sz val="10"/>
        <color theme="0"/>
        <rFont val="Arial"/>
        <family val="2"/>
      </rPr>
      <t>44</t>
    </r>
    <r>
      <rPr>
        <i/>
        <vertAlign val="superscript"/>
        <sz val="10"/>
        <color theme="0"/>
        <rFont val="Arial"/>
        <family val="2"/>
      </rPr>
      <t>E</t>
    </r>
    <r>
      <rPr>
        <sz val="10"/>
        <color theme="0"/>
        <rFont val="Arial"/>
        <family val="2"/>
      </rPr>
      <t xml:space="preserve"> = </t>
    </r>
    <r>
      <rPr>
        <i/>
        <sz val="10"/>
        <color theme="0"/>
        <rFont val="Arial"/>
        <family val="2"/>
      </rPr>
      <t>s</t>
    </r>
    <r>
      <rPr>
        <vertAlign val="subscript"/>
        <sz val="10"/>
        <color theme="0"/>
        <rFont val="Arial"/>
        <family val="2"/>
      </rPr>
      <t>55</t>
    </r>
    <r>
      <rPr>
        <i/>
        <vertAlign val="superscript"/>
        <sz val="10"/>
        <color theme="0"/>
        <rFont val="Arial"/>
        <family val="2"/>
      </rPr>
      <t>E</t>
    </r>
  </si>
  <si>
    <r>
      <t>s</t>
    </r>
    <r>
      <rPr>
        <vertAlign val="subscript"/>
        <sz val="10"/>
        <color theme="0"/>
        <rFont val="Arial"/>
        <family val="2"/>
      </rPr>
      <t>66</t>
    </r>
  </si>
  <si>
    <r>
      <t>s</t>
    </r>
    <r>
      <rPr>
        <vertAlign val="subscript"/>
        <sz val="10"/>
        <color theme="0"/>
        <rFont val="Arial"/>
        <family val="2"/>
      </rPr>
      <t>11</t>
    </r>
    <r>
      <rPr>
        <i/>
        <vertAlign val="superscript"/>
        <sz val="10"/>
        <color theme="0"/>
        <rFont val="Arial"/>
        <family val="2"/>
      </rPr>
      <t>D</t>
    </r>
  </si>
  <si>
    <r>
      <t>s</t>
    </r>
    <r>
      <rPr>
        <vertAlign val="subscript"/>
        <sz val="10"/>
        <color theme="0"/>
        <rFont val="Arial"/>
        <family val="2"/>
      </rPr>
      <t>12</t>
    </r>
    <r>
      <rPr>
        <i/>
        <vertAlign val="superscript"/>
        <sz val="10"/>
        <color theme="0"/>
        <rFont val="Arial"/>
        <family val="2"/>
      </rPr>
      <t>D</t>
    </r>
  </si>
  <si>
    <r>
      <t>s</t>
    </r>
    <r>
      <rPr>
        <vertAlign val="subscript"/>
        <sz val="10"/>
        <color theme="0"/>
        <rFont val="Arial"/>
        <family val="2"/>
      </rPr>
      <t>13</t>
    </r>
    <r>
      <rPr>
        <i/>
        <vertAlign val="superscript"/>
        <sz val="10"/>
        <color theme="0"/>
        <rFont val="Arial"/>
        <family val="2"/>
      </rPr>
      <t>D</t>
    </r>
  </si>
  <si>
    <r>
      <t>s</t>
    </r>
    <r>
      <rPr>
        <vertAlign val="subscript"/>
        <sz val="10"/>
        <color theme="0"/>
        <rFont val="Arial"/>
        <family val="2"/>
      </rPr>
      <t>33</t>
    </r>
    <r>
      <rPr>
        <i/>
        <vertAlign val="superscript"/>
        <sz val="10"/>
        <color theme="0"/>
        <rFont val="Arial"/>
        <family val="2"/>
      </rPr>
      <t>D</t>
    </r>
  </si>
  <si>
    <r>
      <t>s</t>
    </r>
    <r>
      <rPr>
        <vertAlign val="subscript"/>
        <sz val="10"/>
        <color theme="0"/>
        <rFont val="Arial"/>
        <family val="2"/>
      </rPr>
      <t>44</t>
    </r>
    <r>
      <rPr>
        <i/>
        <vertAlign val="superscript"/>
        <sz val="10"/>
        <color theme="0"/>
        <rFont val="Arial"/>
        <family val="2"/>
      </rPr>
      <t>D</t>
    </r>
    <r>
      <rPr>
        <sz val="10"/>
        <color theme="0"/>
        <rFont val="Arial"/>
        <family val="2"/>
      </rPr>
      <t xml:space="preserve"> = </t>
    </r>
    <r>
      <rPr>
        <i/>
        <sz val="10"/>
        <color theme="0"/>
        <rFont val="Arial"/>
        <family val="2"/>
      </rPr>
      <t>s</t>
    </r>
    <r>
      <rPr>
        <vertAlign val="subscript"/>
        <sz val="10"/>
        <color theme="0"/>
        <rFont val="Arial"/>
        <family val="2"/>
      </rPr>
      <t>55</t>
    </r>
    <r>
      <rPr>
        <i/>
        <vertAlign val="superscript"/>
        <sz val="10"/>
        <color theme="0"/>
        <rFont val="Arial"/>
        <family val="2"/>
      </rPr>
      <t>D</t>
    </r>
  </si>
  <si>
    <r>
      <t>c</t>
    </r>
    <r>
      <rPr>
        <vertAlign val="subscript"/>
        <sz val="10"/>
        <color theme="0"/>
        <rFont val="Arial"/>
        <family val="2"/>
      </rPr>
      <t>11</t>
    </r>
    <r>
      <rPr>
        <i/>
        <vertAlign val="superscript"/>
        <sz val="10"/>
        <color theme="0"/>
        <rFont val="Arial"/>
        <family val="2"/>
      </rPr>
      <t>E</t>
    </r>
  </si>
  <si>
    <r>
      <t>N/m</t>
    </r>
    <r>
      <rPr>
        <vertAlign val="superscript"/>
        <sz val="10"/>
        <color theme="0"/>
        <rFont val="Arial"/>
        <family val="2"/>
      </rPr>
      <t>2</t>
    </r>
  </si>
  <si>
    <r>
      <t>c</t>
    </r>
    <r>
      <rPr>
        <vertAlign val="subscript"/>
        <sz val="10"/>
        <color theme="0"/>
        <rFont val="Arial"/>
        <family val="2"/>
      </rPr>
      <t>12</t>
    </r>
    <r>
      <rPr>
        <i/>
        <vertAlign val="superscript"/>
        <sz val="10"/>
        <color theme="0"/>
        <rFont val="Arial"/>
        <family val="2"/>
      </rPr>
      <t>E</t>
    </r>
  </si>
  <si>
    <r>
      <t>c</t>
    </r>
    <r>
      <rPr>
        <vertAlign val="subscript"/>
        <sz val="10"/>
        <color theme="0"/>
        <rFont val="Arial"/>
        <family val="2"/>
      </rPr>
      <t>13</t>
    </r>
    <r>
      <rPr>
        <i/>
        <vertAlign val="superscript"/>
        <sz val="10"/>
        <color theme="0"/>
        <rFont val="Arial"/>
        <family val="2"/>
      </rPr>
      <t>E</t>
    </r>
  </si>
  <si>
    <r>
      <t>c</t>
    </r>
    <r>
      <rPr>
        <vertAlign val="subscript"/>
        <sz val="10"/>
        <color theme="0"/>
        <rFont val="Arial"/>
        <family val="2"/>
      </rPr>
      <t>33</t>
    </r>
    <r>
      <rPr>
        <i/>
        <vertAlign val="superscript"/>
        <sz val="10"/>
        <color theme="0"/>
        <rFont val="Arial"/>
        <family val="2"/>
      </rPr>
      <t>E</t>
    </r>
  </si>
  <si>
    <r>
      <t>c</t>
    </r>
    <r>
      <rPr>
        <vertAlign val="subscript"/>
        <sz val="10"/>
        <color theme="0"/>
        <rFont val="Arial"/>
        <family val="2"/>
      </rPr>
      <t>44</t>
    </r>
    <r>
      <rPr>
        <i/>
        <vertAlign val="superscript"/>
        <sz val="10"/>
        <color theme="0"/>
        <rFont val="Arial"/>
        <family val="2"/>
      </rPr>
      <t xml:space="preserve">E </t>
    </r>
    <r>
      <rPr>
        <sz val="10"/>
        <color theme="0"/>
        <rFont val="Arial"/>
        <family val="2"/>
      </rPr>
      <t xml:space="preserve">= </t>
    </r>
    <r>
      <rPr>
        <i/>
        <sz val="10"/>
        <color theme="0"/>
        <rFont val="Arial"/>
        <family val="2"/>
      </rPr>
      <t>c</t>
    </r>
    <r>
      <rPr>
        <vertAlign val="subscript"/>
        <sz val="10"/>
        <color theme="0"/>
        <rFont val="Arial"/>
        <family val="2"/>
      </rPr>
      <t>55</t>
    </r>
    <r>
      <rPr>
        <i/>
        <vertAlign val="superscript"/>
        <sz val="10"/>
        <color theme="0"/>
        <rFont val="Arial"/>
        <family val="2"/>
      </rPr>
      <t>E</t>
    </r>
  </si>
  <si>
    <r>
      <t>c</t>
    </r>
    <r>
      <rPr>
        <vertAlign val="subscript"/>
        <sz val="10"/>
        <color theme="0"/>
        <rFont val="Arial"/>
        <family val="2"/>
      </rPr>
      <t>66</t>
    </r>
  </si>
  <si>
    <r>
      <t>c</t>
    </r>
    <r>
      <rPr>
        <vertAlign val="subscript"/>
        <sz val="10"/>
        <color theme="0"/>
        <rFont val="Arial"/>
        <family val="2"/>
      </rPr>
      <t>11</t>
    </r>
    <r>
      <rPr>
        <i/>
        <vertAlign val="superscript"/>
        <sz val="10"/>
        <color theme="0"/>
        <rFont val="Arial"/>
        <family val="2"/>
      </rPr>
      <t>D</t>
    </r>
  </si>
  <si>
    <r>
      <t>c</t>
    </r>
    <r>
      <rPr>
        <vertAlign val="subscript"/>
        <sz val="10"/>
        <color theme="0"/>
        <rFont val="Arial"/>
        <family val="2"/>
      </rPr>
      <t>12</t>
    </r>
    <r>
      <rPr>
        <i/>
        <vertAlign val="superscript"/>
        <sz val="10"/>
        <color theme="0"/>
        <rFont val="Arial"/>
        <family val="2"/>
      </rPr>
      <t>D</t>
    </r>
  </si>
  <si>
    <r>
      <t>c</t>
    </r>
    <r>
      <rPr>
        <vertAlign val="subscript"/>
        <sz val="10"/>
        <color theme="0"/>
        <rFont val="Arial"/>
        <family val="2"/>
      </rPr>
      <t>13</t>
    </r>
    <r>
      <rPr>
        <i/>
        <vertAlign val="superscript"/>
        <sz val="10"/>
        <color theme="0"/>
        <rFont val="Arial"/>
        <family val="2"/>
      </rPr>
      <t>D</t>
    </r>
  </si>
  <si>
    <r>
      <t>c</t>
    </r>
    <r>
      <rPr>
        <vertAlign val="subscript"/>
        <sz val="10"/>
        <color theme="0"/>
        <rFont val="Arial"/>
        <family val="2"/>
      </rPr>
      <t>33</t>
    </r>
    <r>
      <rPr>
        <i/>
        <vertAlign val="superscript"/>
        <sz val="10"/>
        <color theme="0"/>
        <rFont val="Arial"/>
        <family val="2"/>
      </rPr>
      <t>D</t>
    </r>
  </si>
  <si>
    <r>
      <t>c</t>
    </r>
    <r>
      <rPr>
        <vertAlign val="subscript"/>
        <sz val="10"/>
        <color theme="0"/>
        <rFont val="Arial"/>
        <family val="2"/>
      </rPr>
      <t>44</t>
    </r>
    <r>
      <rPr>
        <i/>
        <vertAlign val="superscript"/>
        <sz val="10"/>
        <color theme="0"/>
        <rFont val="Arial"/>
        <family val="2"/>
      </rPr>
      <t xml:space="preserve">D </t>
    </r>
    <r>
      <rPr>
        <sz val="10"/>
        <color theme="0"/>
        <rFont val="Arial"/>
        <family val="2"/>
      </rPr>
      <t xml:space="preserve">= </t>
    </r>
    <r>
      <rPr>
        <i/>
        <sz val="10"/>
        <color theme="0"/>
        <rFont val="Arial"/>
        <family val="2"/>
      </rPr>
      <t>c</t>
    </r>
    <r>
      <rPr>
        <vertAlign val="subscript"/>
        <sz val="10"/>
        <color theme="0"/>
        <rFont val="Arial"/>
        <family val="2"/>
      </rPr>
      <t>55</t>
    </r>
    <r>
      <rPr>
        <i/>
        <vertAlign val="superscript"/>
        <sz val="10"/>
        <color theme="0"/>
        <rFont val="Arial"/>
        <family val="2"/>
      </rPr>
      <t>D</t>
    </r>
  </si>
  <si>
    <r>
      <t>Y</t>
    </r>
    <r>
      <rPr>
        <vertAlign val="subscript"/>
        <sz val="10"/>
        <color theme="0"/>
        <rFont val="Arial"/>
        <family val="2"/>
      </rPr>
      <t>11</t>
    </r>
    <r>
      <rPr>
        <i/>
        <vertAlign val="superscript"/>
        <sz val="10"/>
        <color theme="0"/>
        <rFont val="Arial"/>
        <family val="2"/>
      </rPr>
      <t>E</t>
    </r>
  </si>
  <si>
    <r>
      <t>Y</t>
    </r>
    <r>
      <rPr>
        <vertAlign val="subscript"/>
        <sz val="10"/>
        <color theme="0"/>
        <rFont val="Arial"/>
        <family val="2"/>
      </rPr>
      <t>33</t>
    </r>
    <r>
      <rPr>
        <i/>
        <vertAlign val="superscript"/>
        <sz val="10"/>
        <color theme="0"/>
        <rFont val="Arial"/>
        <family val="2"/>
      </rPr>
      <t>E</t>
    </r>
  </si>
  <si>
    <r>
      <t>Y</t>
    </r>
    <r>
      <rPr>
        <vertAlign val="subscript"/>
        <sz val="10"/>
        <color theme="0"/>
        <rFont val="Arial"/>
        <family val="2"/>
      </rPr>
      <t>11</t>
    </r>
    <r>
      <rPr>
        <i/>
        <vertAlign val="superscript"/>
        <sz val="10"/>
        <color theme="0"/>
        <rFont val="Arial"/>
        <family val="2"/>
      </rPr>
      <t>D</t>
    </r>
  </si>
  <si>
    <r>
      <t>Y</t>
    </r>
    <r>
      <rPr>
        <vertAlign val="subscript"/>
        <sz val="10"/>
        <color theme="0"/>
        <rFont val="Arial"/>
        <family val="2"/>
      </rPr>
      <t>33</t>
    </r>
    <r>
      <rPr>
        <i/>
        <vertAlign val="superscript"/>
        <sz val="10"/>
        <color theme="0"/>
        <rFont val="Arial"/>
        <family val="2"/>
      </rPr>
      <t>D</t>
    </r>
  </si>
  <si>
    <r>
      <rPr>
        <i/>
        <sz val="11"/>
        <color theme="0"/>
        <rFont val="Calibri"/>
        <family val="2"/>
      </rPr>
      <t>ε</t>
    </r>
    <r>
      <rPr>
        <vertAlign val="subscript"/>
        <sz val="11"/>
        <color theme="0"/>
        <rFont val="Arial"/>
        <family val="2"/>
      </rPr>
      <t>0</t>
    </r>
    <r>
      <rPr>
        <sz val="11"/>
        <color theme="0"/>
        <rFont val="Arial"/>
        <family val="2"/>
      </rPr>
      <t xml:space="preserve"> </t>
    </r>
  </si>
  <si>
    <r>
      <rPr>
        <i/>
        <sz val="10"/>
        <color theme="0"/>
        <rFont val="Arial"/>
        <family val="2"/>
      </rPr>
      <t>a</t>
    </r>
    <r>
      <rPr>
        <sz val="10"/>
        <color theme="0"/>
        <rFont val="Arial"/>
        <family val="2"/>
      </rPr>
      <t>(</t>
    </r>
    <r>
      <rPr>
        <i/>
        <sz val="10"/>
        <color theme="0"/>
        <rFont val="Arial"/>
        <family val="2"/>
      </rPr>
      <t>N</t>
    </r>
    <r>
      <rPr>
        <vertAlign val="subscript"/>
        <sz val="10"/>
        <color theme="0"/>
        <rFont val="Arial"/>
        <family val="2"/>
      </rPr>
      <t>33,ip</t>
    </r>
    <r>
      <rPr>
        <sz val="10"/>
        <color theme="0"/>
        <rFont val="Arial"/>
        <family val="2"/>
      </rPr>
      <t>)</t>
    </r>
  </si>
  <si>
    <r>
      <rPr>
        <i/>
        <sz val="10"/>
        <color theme="0"/>
        <rFont val="Arial"/>
        <family val="2"/>
      </rPr>
      <t>b</t>
    </r>
    <r>
      <rPr>
        <sz val="10"/>
        <color theme="0"/>
        <rFont val="Arial"/>
        <family val="2"/>
      </rPr>
      <t>(</t>
    </r>
    <r>
      <rPr>
        <i/>
        <sz val="10"/>
        <color theme="0"/>
        <rFont val="Arial"/>
        <family val="2"/>
      </rPr>
      <t>N</t>
    </r>
    <r>
      <rPr>
        <vertAlign val="subscript"/>
        <sz val="10"/>
        <color theme="0"/>
        <rFont val="Arial"/>
        <family val="2"/>
      </rPr>
      <t>33,ip</t>
    </r>
    <r>
      <rPr>
        <sz val="10"/>
        <color theme="0"/>
        <rFont val="Arial"/>
        <family val="2"/>
      </rPr>
      <t>)</t>
    </r>
  </si>
  <si>
    <r>
      <rPr>
        <i/>
        <sz val="10"/>
        <color theme="0"/>
        <rFont val="Arial"/>
        <family val="2"/>
      </rPr>
      <t>N</t>
    </r>
    <r>
      <rPr>
        <vertAlign val="subscript"/>
        <sz val="10"/>
        <color theme="0"/>
        <rFont val="Arial"/>
        <family val="2"/>
      </rPr>
      <t>cr,min</t>
    </r>
  </si>
  <si>
    <r>
      <rPr>
        <i/>
        <sz val="10"/>
        <color theme="0"/>
        <rFont val="Arial"/>
        <family val="2"/>
      </rPr>
      <t>N</t>
    </r>
    <r>
      <rPr>
        <vertAlign val="subscript"/>
        <sz val="10"/>
        <color theme="0"/>
        <rFont val="Arial"/>
        <family val="2"/>
      </rPr>
      <t>cr,max</t>
    </r>
  </si>
  <si>
    <r>
      <rPr>
        <i/>
        <sz val="10"/>
        <color theme="0"/>
        <rFont val="Arial"/>
        <family val="2"/>
      </rPr>
      <t>a</t>
    </r>
    <r>
      <rPr>
        <sz val="10"/>
        <color theme="0"/>
        <rFont val="Arial"/>
        <family val="2"/>
      </rPr>
      <t>(</t>
    </r>
    <r>
      <rPr>
        <i/>
        <sz val="10"/>
        <color theme="0"/>
        <rFont val="Arial"/>
        <family val="2"/>
      </rPr>
      <t>N</t>
    </r>
    <r>
      <rPr>
        <vertAlign val="subscript"/>
        <sz val="10"/>
        <color theme="0"/>
        <rFont val="Arial"/>
        <family val="2"/>
      </rPr>
      <t>cr,ip</t>
    </r>
    <r>
      <rPr>
        <sz val="10"/>
        <color theme="0"/>
        <rFont val="Arial"/>
        <family val="2"/>
      </rPr>
      <t>)</t>
    </r>
  </si>
  <si>
    <r>
      <rPr>
        <i/>
        <sz val="10"/>
        <color theme="0"/>
        <rFont val="Arial"/>
        <family val="2"/>
      </rPr>
      <t>b</t>
    </r>
    <r>
      <rPr>
        <sz val="10"/>
        <color theme="0"/>
        <rFont val="Arial"/>
        <family val="2"/>
      </rPr>
      <t>(</t>
    </r>
    <r>
      <rPr>
        <i/>
        <sz val="10"/>
        <color theme="0"/>
        <rFont val="Arial"/>
        <family val="2"/>
      </rPr>
      <t>N</t>
    </r>
    <r>
      <rPr>
        <vertAlign val="subscript"/>
        <sz val="10"/>
        <color theme="0"/>
        <rFont val="Arial"/>
        <family val="2"/>
      </rPr>
      <t>cr,ip</t>
    </r>
    <r>
      <rPr>
        <sz val="10"/>
        <color theme="0"/>
        <rFont val="Arial"/>
        <family val="2"/>
      </rPr>
      <t>)</t>
    </r>
  </si>
  <si>
    <r>
      <rPr>
        <i/>
        <sz val="10"/>
        <color theme="0"/>
        <rFont val="Arial"/>
        <family val="2"/>
      </rPr>
      <t>N</t>
    </r>
    <r>
      <rPr>
        <vertAlign val="subscript"/>
        <sz val="10"/>
        <color theme="0"/>
        <rFont val="Arial"/>
        <family val="2"/>
      </rPr>
      <t>ct,min</t>
    </r>
  </si>
  <si>
    <r>
      <rPr>
        <i/>
        <sz val="10"/>
        <color theme="0"/>
        <rFont val="Arial"/>
        <family val="2"/>
      </rPr>
      <t>N</t>
    </r>
    <r>
      <rPr>
        <vertAlign val="subscript"/>
        <sz val="10"/>
        <color theme="0"/>
        <rFont val="Arial"/>
        <family val="2"/>
      </rPr>
      <t>ct,max</t>
    </r>
  </si>
  <si>
    <r>
      <rPr>
        <i/>
        <sz val="10"/>
        <color theme="0"/>
        <rFont val="Arial"/>
        <family val="2"/>
      </rPr>
      <t>a</t>
    </r>
    <r>
      <rPr>
        <sz val="10"/>
        <color theme="0"/>
        <rFont val="Arial"/>
        <family val="2"/>
      </rPr>
      <t>(</t>
    </r>
    <r>
      <rPr>
        <i/>
        <sz val="10"/>
        <color theme="0"/>
        <rFont val="Arial"/>
        <family val="2"/>
      </rPr>
      <t>N</t>
    </r>
    <r>
      <rPr>
        <vertAlign val="subscript"/>
        <sz val="10"/>
        <color theme="0"/>
        <rFont val="Arial"/>
        <family val="2"/>
      </rPr>
      <t>ct,ip</t>
    </r>
    <r>
      <rPr>
        <sz val="10"/>
        <color theme="0"/>
        <rFont val="Arial"/>
        <family val="2"/>
      </rPr>
      <t>)</t>
    </r>
  </si>
  <si>
    <r>
      <rPr>
        <i/>
        <sz val="10"/>
        <color theme="0"/>
        <rFont val="Arial"/>
        <family val="2"/>
      </rPr>
      <t>b</t>
    </r>
    <r>
      <rPr>
        <sz val="10"/>
        <color theme="0"/>
        <rFont val="Arial"/>
        <family val="2"/>
      </rPr>
      <t>(</t>
    </r>
    <r>
      <rPr>
        <i/>
        <sz val="10"/>
        <color theme="0"/>
        <rFont val="Arial"/>
        <family val="2"/>
      </rPr>
      <t>N</t>
    </r>
    <r>
      <rPr>
        <vertAlign val="subscript"/>
        <sz val="10"/>
        <color theme="0"/>
        <rFont val="Arial"/>
        <family val="2"/>
      </rPr>
      <t>ct,ip</t>
    </r>
    <r>
      <rPr>
        <sz val="10"/>
        <color theme="0"/>
        <rFont val="Arial"/>
        <family val="2"/>
      </rPr>
      <t>)</t>
    </r>
  </si>
  <si>
    <r>
      <t>N</t>
    </r>
    <r>
      <rPr>
        <vertAlign val="subscript"/>
        <sz val="10"/>
        <color theme="0"/>
        <rFont val="Arial"/>
        <family val="2"/>
      </rPr>
      <t>33,ip</t>
    </r>
  </si>
  <si>
    <r>
      <t>N</t>
    </r>
    <r>
      <rPr>
        <vertAlign val="subscript"/>
        <sz val="10"/>
        <color theme="0"/>
        <rFont val="Arial"/>
        <family val="2"/>
      </rPr>
      <t>33,eff</t>
    </r>
  </si>
  <si>
    <r>
      <t>&lt;N</t>
    </r>
    <r>
      <rPr>
        <vertAlign val="subscript"/>
        <sz val="10"/>
        <color theme="0"/>
        <rFont val="Arial"/>
        <family val="2"/>
      </rPr>
      <t>c,ring</t>
    </r>
    <r>
      <rPr>
        <i/>
        <sz val="10"/>
        <color theme="0"/>
        <rFont val="Arial"/>
        <family val="2"/>
      </rPr>
      <t>&gt;</t>
    </r>
  </si>
  <si>
    <r>
      <t>N</t>
    </r>
    <r>
      <rPr>
        <vertAlign val="subscript"/>
        <sz val="10"/>
        <color theme="0"/>
        <rFont val="Arial"/>
        <family val="2"/>
      </rPr>
      <t>cr,ip</t>
    </r>
  </si>
  <si>
    <r>
      <t>N</t>
    </r>
    <r>
      <rPr>
        <vertAlign val="subscript"/>
        <sz val="10"/>
        <color theme="0"/>
        <rFont val="Arial"/>
        <family val="2"/>
      </rPr>
      <t>cr,eff</t>
    </r>
  </si>
  <si>
    <r>
      <rPr>
        <i/>
        <sz val="10"/>
        <color theme="0"/>
        <rFont val="Arial"/>
        <family val="2"/>
      </rPr>
      <t>D</t>
    </r>
    <r>
      <rPr>
        <vertAlign val="subscript"/>
        <sz val="10"/>
        <color theme="0"/>
        <rFont val="Arial"/>
        <family val="2"/>
      </rPr>
      <t>o</t>
    </r>
  </si>
  <si>
    <r>
      <rPr>
        <i/>
        <sz val="10"/>
        <color theme="0"/>
        <rFont val="Arial"/>
        <family val="2"/>
      </rPr>
      <t>D</t>
    </r>
    <r>
      <rPr>
        <vertAlign val="subscript"/>
        <sz val="10"/>
        <color theme="0"/>
        <rFont val="Arial"/>
        <family val="2"/>
      </rPr>
      <t>m</t>
    </r>
  </si>
  <si>
    <r>
      <rPr>
        <i/>
        <sz val="10"/>
        <color theme="0"/>
        <rFont val="Arial"/>
        <family val="2"/>
      </rPr>
      <t>D</t>
    </r>
    <r>
      <rPr>
        <vertAlign val="subscript"/>
        <sz val="10"/>
        <color theme="0"/>
        <rFont val="Arial"/>
        <family val="2"/>
      </rPr>
      <t>i</t>
    </r>
  </si>
  <si>
    <r>
      <rPr>
        <sz val="10"/>
        <color theme="0"/>
        <rFont val="Arial"/>
        <family val="2"/>
      </rPr>
      <t>Δ</t>
    </r>
    <r>
      <rPr>
        <vertAlign val="subscript"/>
        <sz val="11"/>
        <color theme="0"/>
        <rFont val="Calibri"/>
        <family val="2"/>
        <scheme val="minor"/>
      </rPr>
      <t>r</t>
    </r>
    <r>
      <rPr>
        <i/>
        <sz val="11"/>
        <color theme="0"/>
        <rFont val="Calibri"/>
        <family val="2"/>
        <scheme val="minor"/>
      </rPr>
      <t>D</t>
    </r>
  </si>
  <si>
    <r>
      <rPr>
        <i/>
        <sz val="10"/>
        <color theme="0"/>
        <rFont val="Arial"/>
        <family val="2"/>
      </rPr>
      <t>O</t>
    </r>
    <r>
      <rPr>
        <vertAlign val="subscript"/>
        <sz val="10"/>
        <color theme="0"/>
        <rFont val="Arial"/>
        <family val="2"/>
      </rPr>
      <t>m</t>
    </r>
  </si>
  <si>
    <r>
      <t>h</t>
    </r>
    <r>
      <rPr>
        <vertAlign val="subscript"/>
        <sz val="10"/>
        <color theme="0"/>
        <rFont val="Arial"/>
        <family val="2"/>
      </rPr>
      <t>wt</t>
    </r>
  </si>
  <si>
    <r>
      <t>&lt;N</t>
    </r>
    <r>
      <rPr>
        <vertAlign val="subscript"/>
        <sz val="10"/>
        <color theme="0"/>
        <rFont val="Arial"/>
        <family val="2"/>
      </rPr>
      <t>c,tube</t>
    </r>
    <r>
      <rPr>
        <i/>
        <sz val="10"/>
        <color theme="0"/>
        <rFont val="Arial"/>
        <family val="2"/>
      </rPr>
      <t>&gt;</t>
    </r>
  </si>
  <si>
    <r>
      <t>N</t>
    </r>
    <r>
      <rPr>
        <vertAlign val="subscript"/>
        <sz val="10"/>
        <color theme="0"/>
        <rFont val="Arial"/>
        <family val="2"/>
      </rPr>
      <t>ct,ip</t>
    </r>
  </si>
  <si>
    <r>
      <t>N</t>
    </r>
    <r>
      <rPr>
        <vertAlign val="subscript"/>
        <sz val="10"/>
        <color theme="0"/>
        <rFont val="Arial"/>
        <family val="2"/>
      </rPr>
      <t>ct,eff</t>
    </r>
  </si>
  <si>
    <r>
      <t>h</t>
    </r>
    <r>
      <rPr>
        <vertAlign val="subscript"/>
        <sz val="10"/>
        <color theme="0"/>
        <rFont val="Arial"/>
        <family val="2"/>
      </rPr>
      <t>wt</t>
    </r>
    <r>
      <rPr>
        <sz val="10"/>
        <color theme="0"/>
        <rFont val="Arial"/>
        <family val="2"/>
      </rPr>
      <t>/</t>
    </r>
    <r>
      <rPr>
        <i/>
        <sz val="10"/>
        <color theme="0"/>
        <rFont val="Arial"/>
        <family val="2"/>
      </rPr>
      <t>D</t>
    </r>
    <r>
      <rPr>
        <vertAlign val="subscript"/>
        <sz val="10"/>
        <color theme="0"/>
        <rFont val="Arial"/>
        <family val="2"/>
      </rPr>
      <t>m</t>
    </r>
  </si>
  <si>
    <r>
      <t>ν</t>
    </r>
    <r>
      <rPr>
        <vertAlign val="subscript"/>
        <sz val="10"/>
        <color theme="0"/>
        <rFont val="Arial"/>
        <family val="2"/>
      </rPr>
      <t>12</t>
    </r>
    <r>
      <rPr>
        <i/>
        <vertAlign val="superscript"/>
        <sz val="10"/>
        <color theme="0"/>
        <rFont val="Arial"/>
        <family val="2"/>
      </rPr>
      <t>E</t>
    </r>
  </si>
  <si>
    <r>
      <t>ν</t>
    </r>
    <r>
      <rPr>
        <vertAlign val="subscript"/>
        <sz val="10"/>
        <color theme="0"/>
        <rFont val="Arial"/>
        <family val="2"/>
      </rPr>
      <t>13</t>
    </r>
    <r>
      <rPr>
        <i/>
        <vertAlign val="superscript"/>
        <sz val="10"/>
        <color theme="0"/>
        <rFont val="Arial"/>
        <family val="2"/>
      </rPr>
      <t>E</t>
    </r>
  </si>
  <si>
    <r>
      <rPr>
        <i/>
        <sz val="12"/>
        <rFont val="Calibri"/>
        <family val="2"/>
        <scheme val="minor"/>
      </rPr>
      <t>U</t>
    </r>
    <r>
      <rPr>
        <sz val="12"/>
        <rFont val="Calibri"/>
        <family val="2"/>
        <scheme val="minor"/>
      </rPr>
      <t>(length force)</t>
    </r>
  </si>
  <si>
    <r>
      <rPr>
        <i/>
        <sz val="12"/>
        <rFont val="Calibri"/>
        <family val="2"/>
        <scheme val="minor"/>
      </rPr>
      <t>U</t>
    </r>
    <r>
      <rPr>
        <sz val="12"/>
        <rFont val="Calibri"/>
        <family val="2"/>
        <scheme val="minor"/>
      </rPr>
      <t>(width force)</t>
    </r>
  </si>
  <si>
    <r>
      <rPr>
        <i/>
        <sz val="12"/>
        <rFont val="Calibri"/>
        <family val="2"/>
        <scheme val="minor"/>
      </rPr>
      <t>U</t>
    </r>
    <r>
      <rPr>
        <sz val="12"/>
        <rFont val="Calibri"/>
        <family val="2"/>
        <scheme val="minor"/>
      </rPr>
      <t>(thickness force)</t>
    </r>
  </si>
  <si>
    <r>
      <rPr>
        <i/>
        <sz val="12"/>
        <rFont val="Calibri"/>
        <family val="2"/>
        <scheme val="minor"/>
      </rPr>
      <t>U</t>
    </r>
    <r>
      <rPr>
        <sz val="12"/>
        <rFont val="Calibri"/>
        <family val="2"/>
        <scheme val="minor"/>
      </rPr>
      <t>(shear force)</t>
    </r>
  </si>
  <si>
    <t>In some cases, the deviation from measurements on real parts can therefore be up to 20%.</t>
  </si>
  <si>
    <t xml:space="preserve">The calculation is NOT based on FEM modeling, and therefore does NOT take interactions between different modes into account.  </t>
  </si>
  <si>
    <t>Notes regarding the CTS Piezoelectric Calculator</t>
  </si>
  <si>
    <t>Applied voltage</t>
  </si>
  <si>
    <r>
      <t xml:space="preserve">Select your material </t>
    </r>
    <r>
      <rPr>
        <b/>
        <sz val="14"/>
        <color rgb="FF003C71"/>
        <rFont val="Calibri"/>
        <family val="2"/>
      </rPr>
      <t>→</t>
    </r>
  </si>
  <si>
    <r>
      <t xml:space="preserve">Select shape </t>
    </r>
    <r>
      <rPr>
        <b/>
        <sz val="14"/>
        <color rgb="FF003C71"/>
        <rFont val="Calibri"/>
        <family val="2"/>
      </rPr>
      <t>→</t>
    </r>
  </si>
  <si>
    <t>Click here to contact authors</t>
  </si>
  <si>
    <t xml:space="preserve">Voltage output under load (open circuit) </t>
  </si>
  <si>
    <t>Static displacement (actuator application)</t>
  </si>
  <si>
    <t>Static signal (sensor application)</t>
  </si>
  <si>
    <t>Estimated fundamental resonances</t>
  </si>
  <si>
    <t>Version 1.3. Released Dec. 2024</t>
  </si>
  <si>
    <t>Pz34 - Lead Titanate</t>
  </si>
  <si>
    <t>3195STD - Soft PZT</t>
  </si>
  <si>
    <t>3195HD - Soft PZT</t>
  </si>
  <si>
    <t>3203STD - Soft PZT</t>
  </si>
  <si>
    <t>3203HD - Soft PZT</t>
  </si>
  <si>
    <t>3219HD - Soft PZT</t>
  </si>
  <si>
    <t>3221HD - Soft PZT</t>
  </si>
  <si>
    <t>3222HD - Soft PZT</t>
  </si>
  <si>
    <t>3241HD - Soft PZT</t>
  </si>
  <si>
    <t>3257HD - Soft PZT</t>
  </si>
  <si>
    <t>3265HD - Soft PZT</t>
  </si>
  <si>
    <t>4196HD - Soft PZT</t>
  </si>
  <si>
    <t>NCE51 - Soft PZT</t>
  </si>
  <si>
    <t>NCE55 - Soft PZT</t>
  </si>
  <si>
    <t>NCE56 - Soft PZT</t>
  </si>
  <si>
    <t>Pz21 - Soft PZT</t>
  </si>
  <si>
    <t>Pz23 - Soft PZT</t>
  </si>
  <si>
    <t>Pz27 - Soft PZT</t>
  </si>
  <si>
    <t>Pz29 - Soft PZT</t>
  </si>
  <si>
    <t>Pz94 - Soft PZT</t>
  </si>
  <si>
    <t>K1000 - Hard PZT</t>
  </si>
  <si>
    <t>K1100 - Hard PZT</t>
  </si>
  <si>
    <t>K1250 - Hard PZT</t>
  </si>
  <si>
    <t>K1300 - Hard PZT</t>
  </si>
  <si>
    <t>K1450HD - Hard PZT</t>
  </si>
  <si>
    <t>NCE40 - Hard PZT</t>
  </si>
  <si>
    <t>NCE41 - Hard PZT</t>
  </si>
  <si>
    <t>NCE81 - Hard PZT</t>
  </si>
  <si>
    <t>Pz24 - Hard PZT</t>
  </si>
  <si>
    <t>Pz26 - Hard PZT</t>
  </si>
  <si>
    <t>Pz54 - Hard PZT</t>
  </si>
  <si>
    <t>Pz89 - Hard PZT</t>
  </si>
  <si>
    <t>Pz36 - Porous Hard PZT</t>
  </si>
  <si>
    <t>Pz37 - Porous soft PZT</t>
  </si>
  <si>
    <t>Pz39 - Porous soft PZT</t>
  </si>
  <si>
    <t>Pz62 - Lead-Free KNN</t>
  </si>
  <si>
    <t>Pz12 - Lead-Free NBT-BT</t>
  </si>
  <si>
    <t>Pz12X - Lead-Free NBT-BT</t>
  </si>
  <si>
    <t>LF52 - Hard Lead-Free KNN</t>
  </si>
  <si>
    <t>LF22 - Lead-Free KNN</t>
  </si>
  <si>
    <t>LF41 - Lead-Free KNN</t>
  </si>
  <si>
    <t>LF51 - Lead-Free KNN</t>
  </si>
  <si>
    <t>Pz46 - High Temp. Lead-Free</t>
  </si>
  <si>
    <r>
      <t>D</t>
    </r>
    <r>
      <rPr>
        <vertAlign val="subscript"/>
        <sz val="10"/>
        <color theme="0"/>
        <rFont val="Arial"/>
        <family val="2"/>
      </rPr>
      <t>radius</t>
    </r>
  </si>
  <si>
    <r>
      <t>D</t>
    </r>
    <r>
      <rPr>
        <vertAlign val="subscript"/>
        <sz val="10"/>
        <color theme="0"/>
        <rFont val="Arial"/>
        <family val="2"/>
      </rPr>
      <t>thickness</t>
    </r>
  </si>
  <si>
    <r>
      <t>D</t>
    </r>
    <r>
      <rPr>
        <vertAlign val="subscript"/>
        <sz val="10"/>
        <color theme="0"/>
        <rFont val="Arial"/>
        <family val="2"/>
      </rPr>
      <t>length</t>
    </r>
  </si>
  <si>
    <r>
      <t>D</t>
    </r>
    <r>
      <rPr>
        <vertAlign val="subscript"/>
        <sz val="10"/>
        <color theme="0"/>
        <rFont val="Arial"/>
        <family val="2"/>
      </rPr>
      <t>width</t>
    </r>
  </si>
  <si>
    <r>
      <t>D</t>
    </r>
    <r>
      <rPr>
        <vertAlign val="subscript"/>
        <sz val="10"/>
        <color theme="0"/>
        <rFont val="Arial"/>
        <family val="2"/>
      </rPr>
      <t>heigth</t>
    </r>
  </si>
  <si>
    <r>
      <t>U</t>
    </r>
    <r>
      <rPr>
        <vertAlign val="subscript"/>
        <sz val="10"/>
        <color theme="0"/>
        <rFont val="Arial"/>
        <family val="2"/>
      </rPr>
      <t>length force</t>
    </r>
  </si>
  <si>
    <r>
      <t>U</t>
    </r>
    <r>
      <rPr>
        <vertAlign val="subscript"/>
        <sz val="10"/>
        <color theme="0"/>
        <rFont val="Arial"/>
        <family val="2"/>
      </rPr>
      <t>width force</t>
    </r>
  </si>
  <si>
    <r>
      <t>U</t>
    </r>
    <r>
      <rPr>
        <vertAlign val="subscript"/>
        <sz val="10"/>
        <color theme="0"/>
        <rFont val="Arial"/>
        <family val="2"/>
      </rPr>
      <t>thickness force</t>
    </r>
  </si>
  <si>
    <r>
      <t>U</t>
    </r>
    <r>
      <rPr>
        <vertAlign val="subscript"/>
        <sz val="10"/>
        <color theme="0"/>
        <rFont val="Arial"/>
        <family val="2"/>
      </rPr>
      <t>shear force</t>
    </r>
  </si>
  <si>
    <t>Δdiameter (outer)</t>
  </si>
  <si>
    <t>Electric field</t>
  </si>
  <si>
    <r>
      <t>S</t>
    </r>
    <r>
      <rPr>
        <vertAlign val="subscript"/>
        <sz val="10"/>
        <color theme="0"/>
        <rFont val="Arial"/>
        <family val="2"/>
      </rPr>
      <t>1</t>
    </r>
    <r>
      <rPr>
        <sz val="10"/>
        <color theme="0"/>
        <rFont val="Arial"/>
        <family val="2"/>
      </rPr>
      <t xml:space="preserve"> (transversal strain)</t>
    </r>
  </si>
  <si>
    <r>
      <t>S</t>
    </r>
    <r>
      <rPr>
        <vertAlign val="subscript"/>
        <sz val="10"/>
        <color theme="0"/>
        <rFont val="Arial"/>
        <family val="2"/>
      </rPr>
      <t>3</t>
    </r>
    <r>
      <rPr>
        <sz val="10"/>
        <color theme="0"/>
        <rFont val="Arial"/>
        <family val="2"/>
      </rPr>
      <t xml:space="preserve"> (transversal strain)</t>
    </r>
  </si>
  <si>
    <r>
      <t xml:space="preserve">delta </t>
    </r>
    <r>
      <rPr>
        <i/>
        <sz val="10"/>
        <color theme="0"/>
        <rFont val="Arial"/>
        <family val="2"/>
      </rPr>
      <t>D</t>
    </r>
  </si>
  <si>
    <r>
      <t xml:space="preserve">delta </t>
    </r>
    <r>
      <rPr>
        <i/>
        <sz val="10"/>
        <color theme="0"/>
        <rFont val="Arial"/>
        <family val="2"/>
      </rPr>
      <t>h</t>
    </r>
  </si>
  <si>
    <r>
      <rPr>
        <i/>
        <sz val="10"/>
        <color theme="0"/>
        <rFont val="Arial"/>
        <family val="2"/>
      </rPr>
      <t>O</t>
    </r>
    <r>
      <rPr>
        <vertAlign val="subscript"/>
        <sz val="10"/>
        <color theme="0"/>
        <rFont val="Arial"/>
        <family val="2"/>
      </rPr>
      <t>m</t>
    </r>
    <r>
      <rPr>
        <sz val="10"/>
        <color theme="0"/>
        <rFont val="Arial"/>
        <family val="2"/>
      </rPr>
      <t>(</t>
    </r>
    <r>
      <rPr>
        <i/>
        <sz val="10"/>
        <color theme="0"/>
        <rFont val="Arial"/>
        <family val="2"/>
      </rPr>
      <t>U</t>
    </r>
    <r>
      <rPr>
        <sz val="10"/>
        <color theme="0"/>
        <rFont val="Arial"/>
        <family val="2"/>
      </rPr>
      <t>)</t>
    </r>
  </si>
  <si>
    <r>
      <t>h</t>
    </r>
    <r>
      <rPr>
        <vertAlign val="subscript"/>
        <sz val="10"/>
        <color theme="0"/>
        <rFont val="Arial"/>
        <family val="2"/>
      </rPr>
      <t>wt</t>
    </r>
    <r>
      <rPr>
        <sz val="10"/>
        <color theme="0"/>
        <rFont val="Arial"/>
        <family val="2"/>
      </rPr>
      <t>(</t>
    </r>
    <r>
      <rPr>
        <i/>
        <sz val="10"/>
        <color theme="0"/>
        <rFont val="Arial"/>
        <family val="2"/>
      </rPr>
      <t>U</t>
    </r>
    <r>
      <rPr>
        <sz val="10"/>
        <color theme="0"/>
        <rFont val="Arial"/>
        <family val="2"/>
      </rPr>
      <t>)</t>
    </r>
  </si>
  <si>
    <r>
      <t>D</t>
    </r>
    <r>
      <rPr>
        <vertAlign val="subscript"/>
        <sz val="10"/>
        <color theme="0"/>
        <rFont val="Arial"/>
        <family val="2"/>
      </rPr>
      <t>o</t>
    </r>
    <r>
      <rPr>
        <sz val="10"/>
        <color theme="0"/>
        <rFont val="Arial"/>
        <family val="2"/>
      </rPr>
      <t>(</t>
    </r>
    <r>
      <rPr>
        <i/>
        <sz val="10"/>
        <color theme="0"/>
        <rFont val="Arial"/>
        <family val="2"/>
      </rPr>
      <t>U</t>
    </r>
    <r>
      <rPr>
        <sz val="10"/>
        <color theme="0"/>
        <rFont val="Arial"/>
        <family val="2"/>
      </rPr>
      <t>)</t>
    </r>
  </si>
  <si>
    <r>
      <t xml:space="preserve">delta </t>
    </r>
    <r>
      <rPr>
        <i/>
        <sz val="10"/>
        <color theme="0"/>
        <rFont val="Arial"/>
        <family val="2"/>
      </rPr>
      <t>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</si>
</sst>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0.0000"/>
    <numFmt numFmtId="166" formatCode="0.000"/>
    <numFmt numFmtId="167" formatCode="0.0"/>
    <numFmt numFmtId="168" formatCode="#,##0.000"/>
    <numFmt numFmtId="169" formatCode="0.0E+00"/>
    <numFmt numFmtId="170" formatCode="#,##0.0"/>
    <numFmt numFmtId="171" formatCode="0.000E+00"/>
    <numFmt numFmtId="172" formatCode="0.000000"/>
  </numFmts>
  <fonts count="60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sz val="10"/>
      <color indexed="8"/>
      <name val="Arial"/>
      <family val="2"/>
    </font>
    <font>
      <sz val="10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  <font>
      <vertAlign val="subscript"/>
      <sz val="9"/>
      <color indexed="81"/>
      <name val="Tahoma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vertAlign val="subscript"/>
      <sz val="10"/>
      <color theme="0"/>
      <name val="Arial"/>
      <family val="2"/>
    </font>
    <font>
      <i/>
      <vertAlign val="superscript"/>
      <sz val="10"/>
      <color theme="0"/>
      <name val="Arial"/>
      <family val="2"/>
    </font>
    <font>
      <vertAlign val="superscript"/>
      <sz val="10"/>
      <color theme="0"/>
      <name val="Arial"/>
      <family val="2"/>
    </font>
    <font>
      <i/>
      <sz val="10"/>
      <color theme="0"/>
      <name val="Symbol"/>
      <family val="1"/>
      <charset val="2"/>
    </font>
    <font>
      <sz val="11"/>
      <color theme="0"/>
      <name val="Symbol"/>
      <family val="2"/>
      <charset val="2"/>
    </font>
    <font>
      <i/>
      <sz val="11"/>
      <color theme="0"/>
      <name val="Calibri"/>
      <family val="2"/>
    </font>
    <font>
      <vertAlign val="subscript"/>
      <sz val="11"/>
      <color theme="0"/>
      <name val="Arial"/>
      <family val="2"/>
    </font>
    <font>
      <sz val="11"/>
      <color theme="0"/>
      <name val="Arial"/>
      <family val="2"/>
    </font>
    <font>
      <i/>
      <sz val="11"/>
      <color theme="0"/>
      <name val="Calibri"/>
      <family val="2"/>
      <scheme val="minor"/>
    </font>
    <font>
      <vertAlign val="subscript"/>
      <sz val="11"/>
      <color theme="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0"/>
      <name val="Calibri"/>
      <family val="2"/>
      <scheme val="minor"/>
    </font>
    <font>
      <sz val="20"/>
      <color theme="0"/>
      <name val="Calibri"/>
      <family val="2"/>
      <scheme val="minor"/>
    </font>
    <font>
      <sz val="10"/>
      <color indexed="4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12"/>
      <name val="Calibri"/>
      <family val="2"/>
      <scheme val="minor"/>
    </font>
    <font>
      <sz val="14"/>
      <color indexed="12"/>
      <name val="Calibri"/>
      <family val="2"/>
      <scheme val="minor"/>
    </font>
    <font>
      <sz val="12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14"/>
      <color indexed="9"/>
      <name val="Calibri"/>
      <family val="2"/>
      <scheme val="minor"/>
    </font>
    <font>
      <sz val="10"/>
      <color indexed="12"/>
      <name val="Calibri"/>
      <family val="2"/>
      <scheme val="minor"/>
    </font>
    <font>
      <sz val="14"/>
      <color indexed="40"/>
      <name val="Calibri"/>
      <family val="2"/>
      <scheme val="minor"/>
    </font>
    <font>
      <u/>
      <sz val="10"/>
      <color indexed="12"/>
      <name val="Calibri"/>
      <family val="2"/>
      <scheme val="minor"/>
    </font>
    <font>
      <i/>
      <sz val="12"/>
      <name val="Calibri"/>
      <family val="2"/>
      <scheme val="minor"/>
    </font>
    <font>
      <i/>
      <sz val="10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6"/>
      <color theme="0"/>
      <name val="Calibri"/>
      <family val="2"/>
      <scheme val="minor"/>
    </font>
    <font>
      <b/>
      <sz val="36"/>
      <color indexed="60"/>
      <name val="Calibri"/>
      <family val="2"/>
      <scheme val="minor"/>
    </font>
    <font>
      <u/>
      <sz val="12"/>
      <name val="Calibri"/>
      <family val="2"/>
      <scheme val="minor"/>
    </font>
    <font>
      <b/>
      <u/>
      <sz val="16"/>
      <color theme="0"/>
      <name val="Calibri"/>
      <family val="2"/>
      <scheme val="minor"/>
    </font>
    <font>
      <sz val="9"/>
      <name val="Calibri"/>
      <family val="2"/>
      <scheme val="minor"/>
    </font>
    <font>
      <b/>
      <i/>
      <sz val="12"/>
      <name val="Calibri"/>
      <family val="2"/>
      <scheme val="minor"/>
    </font>
    <font>
      <b/>
      <u/>
      <sz val="12"/>
      <color indexed="12"/>
      <name val="Calibri"/>
      <family val="2"/>
      <scheme val="minor"/>
    </font>
    <font>
      <b/>
      <sz val="16"/>
      <name val="Calibri"/>
      <family val="2"/>
      <scheme val="minor"/>
    </font>
    <font>
      <b/>
      <sz val="20"/>
      <color rgb="FF003C71"/>
      <name val="Calibri"/>
      <family val="2"/>
      <scheme val="minor"/>
    </font>
    <font>
      <sz val="20"/>
      <color rgb="FF003C71"/>
      <name val="Calibri"/>
      <family val="2"/>
      <scheme val="minor"/>
    </font>
    <font>
      <b/>
      <sz val="14"/>
      <color rgb="FF003C71"/>
      <name val="Calibri"/>
      <family val="2"/>
      <scheme val="minor"/>
    </font>
    <font>
      <sz val="12"/>
      <color rgb="FF003C71"/>
      <name val="Calibri"/>
      <family val="2"/>
      <scheme val="minor"/>
    </font>
    <font>
      <sz val="14"/>
      <color rgb="FF003C71"/>
      <name val="Calibri"/>
      <family val="2"/>
      <scheme val="minor"/>
    </font>
    <font>
      <sz val="9"/>
      <name val="Arial"/>
      <family val="2"/>
    </font>
    <font>
      <b/>
      <sz val="14"/>
      <color rgb="FF003C71"/>
      <name val="Calibri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Symbol"/>
      <family val="1"/>
      <charset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3C71"/>
        <bgColor indexed="64"/>
      </patternFill>
    </fill>
    <fill>
      <patternFill patternType="solid">
        <fgColor rgb="FF003C71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211">
    <xf numFmtId="0" fontId="0" fillId="0" borderId="0" xfId="0"/>
    <xf numFmtId="11" fontId="2" fillId="0" borderId="0" xfId="0" applyNumberFormat="1" applyFont="1"/>
    <xf numFmtId="166" fontId="2" fillId="0" borderId="0" xfId="0" applyNumberFormat="1" applyFont="1"/>
    <xf numFmtId="1" fontId="2" fillId="0" borderId="0" xfId="0" applyNumberFormat="1" applyFont="1"/>
    <xf numFmtId="165" fontId="2" fillId="0" borderId="0" xfId="0" applyNumberFormat="1" applyFont="1"/>
    <xf numFmtId="2" fontId="2" fillId="0" borderId="0" xfId="0" applyNumberFormat="1" applyFont="1"/>
    <xf numFmtId="167" fontId="2" fillId="0" borderId="0" xfId="0" applyNumberFormat="1" applyFont="1"/>
    <xf numFmtId="0" fontId="0" fillId="2" borderId="0" xfId="0" applyFill="1"/>
    <xf numFmtId="0" fontId="4" fillId="2" borderId="0" xfId="0" applyFont="1" applyFill="1" applyBorder="1"/>
    <xf numFmtId="0" fontId="0" fillId="3" borderId="0" xfId="0" applyFill="1"/>
    <xf numFmtId="0" fontId="4" fillId="2" borderId="0" xfId="0" applyFont="1" applyFill="1"/>
    <xf numFmtId="0" fontId="6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/>
    <xf numFmtId="0" fontId="4" fillId="2" borderId="0" xfId="0" applyFont="1" applyFill="1" applyAlignment="1"/>
    <xf numFmtId="0" fontId="4" fillId="2" borderId="0" xfId="0" quotePrefix="1" applyFont="1" applyFill="1" applyBorder="1"/>
    <xf numFmtId="0" fontId="12" fillId="0" borderId="0" xfId="0" applyFont="1"/>
    <xf numFmtId="0" fontId="12" fillId="0" borderId="14" xfId="0" applyFont="1" applyBorder="1"/>
    <xf numFmtId="0" fontId="12" fillId="0" borderId="0" xfId="0" applyFont="1" applyFill="1" applyBorder="1"/>
    <xf numFmtId="0" fontId="12" fillId="0" borderId="0" xfId="0" applyFont="1" applyFill="1" applyBorder="1" applyAlignment="1"/>
    <xf numFmtId="0" fontId="12" fillId="0" borderId="0" xfId="0" applyFont="1" applyAlignment="1">
      <alignment horizontal="center"/>
    </xf>
    <xf numFmtId="1" fontId="12" fillId="0" borderId="0" xfId="0" applyNumberFormat="1" applyFont="1"/>
    <xf numFmtId="0" fontId="12" fillId="0" borderId="0" xfId="0" applyFont="1" applyFill="1"/>
    <xf numFmtId="0" fontId="13" fillId="0" borderId="0" xfId="0" applyFont="1"/>
    <xf numFmtId="11" fontId="12" fillId="0" borderId="0" xfId="0" applyNumberFormat="1" applyFont="1"/>
    <xf numFmtId="165" fontId="12" fillId="0" borderId="0" xfId="0" applyNumberFormat="1" applyFont="1"/>
    <xf numFmtId="2" fontId="12" fillId="0" borderId="0" xfId="0" applyNumberFormat="1" applyFont="1"/>
    <xf numFmtId="167" fontId="12" fillId="0" borderId="0" xfId="0" applyNumberFormat="1" applyFont="1"/>
    <xf numFmtId="164" fontId="12" fillId="0" borderId="0" xfId="1" applyFont="1"/>
    <xf numFmtId="166" fontId="12" fillId="0" borderId="0" xfId="0" applyNumberFormat="1" applyFont="1"/>
    <xf numFmtId="165" fontId="12" fillId="0" borderId="0" xfId="0" applyNumberFormat="1" applyFont="1" applyFill="1"/>
    <xf numFmtId="167" fontId="12" fillId="0" borderId="0" xfId="0" quotePrefix="1" applyNumberFormat="1" applyFont="1"/>
    <xf numFmtId="0" fontId="12" fillId="0" borderId="0" xfId="0" applyNumberFormat="1" applyFont="1"/>
    <xf numFmtId="0" fontId="22" fillId="0" borderId="0" xfId="0" applyFont="1"/>
    <xf numFmtId="166" fontId="12" fillId="0" borderId="0" xfId="1" applyNumberFormat="1" applyFont="1"/>
    <xf numFmtId="0" fontId="12" fillId="0" borderId="0" xfId="0" applyFont="1" applyFill="1" applyAlignment="1">
      <alignment horizontal="center"/>
    </xf>
    <xf numFmtId="0" fontId="13" fillId="0" borderId="0" xfId="0" applyFont="1" applyFill="1"/>
    <xf numFmtId="170" fontId="12" fillId="0" borderId="0" xfId="1" applyNumberFormat="1" applyFont="1"/>
    <xf numFmtId="3" fontId="12" fillId="0" borderId="0" xfId="1" applyNumberFormat="1" applyFont="1"/>
    <xf numFmtId="0" fontId="25" fillId="3" borderId="0" xfId="0" applyFont="1" applyFill="1"/>
    <xf numFmtId="0" fontId="27" fillId="2" borderId="6" xfId="0" applyFont="1" applyFill="1" applyBorder="1"/>
    <xf numFmtId="0" fontId="25" fillId="2" borderId="7" xfId="0" applyFont="1" applyFill="1" applyBorder="1"/>
    <xf numFmtId="0" fontId="25" fillId="2" borderId="8" xfId="0" applyFont="1" applyFill="1" applyBorder="1"/>
    <xf numFmtId="0" fontId="27" fillId="2" borderId="1" xfId="0" applyFont="1" applyFill="1" applyBorder="1"/>
    <xf numFmtId="0" fontId="25" fillId="2" borderId="0" xfId="0" applyFont="1" applyFill="1" applyBorder="1"/>
    <xf numFmtId="0" fontId="25" fillId="2" borderId="2" xfId="0" applyFont="1" applyFill="1" applyBorder="1"/>
    <xf numFmtId="0" fontId="25" fillId="2" borderId="1" xfId="0" applyFont="1" applyFill="1" applyBorder="1"/>
    <xf numFmtId="0" fontId="25" fillId="2" borderId="0" xfId="0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30" fillId="2" borderId="1" xfId="0" applyFont="1" applyFill="1" applyBorder="1"/>
    <xf numFmtId="0" fontId="31" fillId="2" borderId="0" xfId="0" applyFont="1" applyFill="1" applyBorder="1"/>
    <xf numFmtId="0" fontId="29" fillId="2" borderId="0" xfId="0" applyFont="1" applyFill="1" applyBorder="1"/>
    <xf numFmtId="0" fontId="29" fillId="2" borderId="1" xfId="0" applyFont="1" applyFill="1" applyBorder="1"/>
    <xf numFmtId="1" fontId="32" fillId="2" borderId="9" xfId="0" applyNumberFormat="1" applyFont="1" applyFill="1" applyBorder="1" applyAlignment="1">
      <alignment horizontal="center"/>
    </xf>
    <xf numFmtId="0" fontId="32" fillId="2" borderId="2" xfId="0" applyFont="1" applyFill="1" applyBorder="1"/>
    <xf numFmtId="0" fontId="31" fillId="2" borderId="1" xfId="0" applyFont="1" applyFill="1" applyBorder="1"/>
    <xf numFmtId="2" fontId="32" fillId="2" borderId="0" xfId="0" applyNumberFormat="1" applyFont="1" applyFill="1" applyBorder="1" applyAlignment="1">
      <alignment horizontal="center"/>
    </xf>
    <xf numFmtId="0" fontId="32" fillId="2" borderId="1" xfId="0" applyFont="1" applyFill="1" applyBorder="1" applyAlignment="1">
      <alignment horizontal="left" indent="1"/>
    </xf>
    <xf numFmtId="1" fontId="32" fillId="2" borderId="9" xfId="1" applyNumberFormat="1" applyFont="1" applyFill="1" applyBorder="1" applyAlignment="1">
      <alignment horizontal="center"/>
    </xf>
    <xf numFmtId="0" fontId="33" fillId="2" borderId="2" xfId="0" applyFont="1" applyFill="1" applyBorder="1" applyAlignment="1">
      <alignment horizontal="left"/>
    </xf>
    <xf numFmtId="0" fontId="32" fillId="2" borderId="0" xfId="0" applyFont="1" applyFill="1" applyBorder="1"/>
    <xf numFmtId="0" fontId="34" fillId="2" borderId="0" xfId="0" applyFont="1" applyFill="1" applyBorder="1"/>
    <xf numFmtId="0" fontId="33" fillId="2" borderId="0" xfId="0" applyFont="1" applyFill="1" applyBorder="1" applyAlignment="1">
      <alignment horizontal="left" indent="8"/>
    </xf>
    <xf numFmtId="0" fontId="33" fillId="2" borderId="0" xfId="0" applyFont="1" applyFill="1" applyBorder="1" applyAlignment="1"/>
    <xf numFmtId="0" fontId="35" fillId="2" borderId="0" xfId="0" applyFont="1" applyFill="1" applyBorder="1"/>
    <xf numFmtId="166" fontId="32" fillId="2" borderId="9" xfId="1" applyNumberFormat="1" applyFont="1" applyFill="1" applyBorder="1" applyAlignment="1">
      <alignment horizontal="center"/>
    </xf>
    <xf numFmtId="0" fontId="36" fillId="2" borderId="1" xfId="0" applyFont="1" applyFill="1" applyBorder="1"/>
    <xf numFmtId="0" fontId="32" fillId="2" borderId="1" xfId="0" applyFont="1" applyFill="1" applyBorder="1"/>
    <xf numFmtId="0" fontId="43" fillId="2" borderId="0" xfId="0" applyFont="1" applyFill="1" applyBorder="1" applyAlignment="1">
      <alignment vertical="center"/>
    </xf>
    <xf numFmtId="0" fontId="32" fillId="2" borderId="0" xfId="0" applyFont="1" applyFill="1" applyAlignment="1"/>
    <xf numFmtId="0" fontId="38" fillId="2" borderId="0" xfId="0" applyFont="1" applyFill="1" applyBorder="1"/>
    <xf numFmtId="0" fontId="32" fillId="2" borderId="0" xfId="0" applyFont="1" applyFill="1" applyBorder="1" applyAlignment="1"/>
    <xf numFmtId="0" fontId="32" fillId="2" borderId="2" xfId="0" applyFont="1" applyFill="1" applyBorder="1" applyAlignment="1"/>
    <xf numFmtId="0" fontId="32" fillId="2" borderId="0" xfId="0" applyFont="1" applyFill="1"/>
    <xf numFmtId="0" fontId="32" fillId="2" borderId="3" xfId="0" applyFont="1" applyFill="1" applyBorder="1"/>
    <xf numFmtId="0" fontId="32" fillId="2" borderId="4" xfId="0" applyFont="1" applyFill="1" applyBorder="1"/>
    <xf numFmtId="0" fontId="46" fillId="2" borderId="4" xfId="0" applyFont="1" applyFill="1" applyBorder="1" applyAlignment="1">
      <alignment horizontal="center"/>
    </xf>
    <xf numFmtId="0" fontId="32" fillId="2" borderId="5" xfId="0" applyFont="1" applyFill="1" applyBorder="1"/>
    <xf numFmtId="0" fontId="47" fillId="2" borderId="0" xfId="0" applyFont="1" applyFill="1"/>
    <xf numFmtId="0" fontId="32" fillId="2" borderId="0" xfId="0" applyFont="1" applyFill="1" applyAlignment="1">
      <alignment horizontal="left" indent="1"/>
    </xf>
    <xf numFmtId="0" fontId="47" fillId="2" borderId="0" xfId="0" applyFont="1" applyFill="1" applyAlignment="1">
      <alignment horizontal="left"/>
    </xf>
    <xf numFmtId="0" fontId="49" fillId="2" borderId="0" xfId="0" applyFont="1" applyFill="1"/>
    <xf numFmtId="0" fontId="52" fillId="2" borderId="1" xfId="0" applyFont="1" applyFill="1" applyBorder="1"/>
    <xf numFmtId="0" fontId="53" fillId="2" borderId="0" xfId="0" applyFont="1" applyFill="1" applyBorder="1"/>
    <xf numFmtId="0" fontId="54" fillId="2" borderId="0" xfId="0" applyFont="1" applyFill="1" applyBorder="1"/>
    <xf numFmtId="0" fontId="45" fillId="5" borderId="10" xfId="2" applyFont="1" applyFill="1" applyBorder="1" applyAlignment="1" applyProtection="1">
      <alignment horizontal="center" vertical="center"/>
    </xf>
    <xf numFmtId="0" fontId="32" fillId="6" borderId="1" xfId="0" applyFont="1" applyFill="1" applyBorder="1" applyAlignment="1">
      <alignment horizontal="left" indent="1"/>
    </xf>
    <xf numFmtId="1" fontId="32" fillId="6" borderId="9" xfId="1" applyNumberFormat="1" applyFont="1" applyFill="1" applyBorder="1" applyAlignment="1">
      <alignment horizontal="center"/>
    </xf>
    <xf numFmtId="0" fontId="32" fillId="6" borderId="2" xfId="0" applyFont="1" applyFill="1" applyBorder="1"/>
    <xf numFmtId="167" fontId="32" fillId="6" borderId="9" xfId="1" applyNumberFormat="1" applyFont="1" applyFill="1" applyBorder="1" applyAlignment="1">
      <alignment horizontal="center"/>
    </xf>
    <xf numFmtId="0" fontId="0" fillId="6" borderId="0" xfId="0" applyFill="1" applyBorder="1"/>
    <xf numFmtId="0" fontId="0" fillId="6" borderId="2" xfId="0" applyFill="1" applyBorder="1"/>
    <xf numFmtId="0" fontId="32" fillId="2" borderId="3" xfId="0" applyFont="1" applyFill="1" applyBorder="1" applyAlignment="1">
      <alignment horizontal="left" indent="1"/>
    </xf>
    <xf numFmtId="0" fontId="0" fillId="6" borderId="4" xfId="0" applyFill="1" applyBorder="1"/>
    <xf numFmtId="0" fontId="30" fillId="2" borderId="3" xfId="0" applyFont="1" applyFill="1" applyBorder="1"/>
    <xf numFmtId="0" fontId="31" fillId="2" borderId="4" xfId="0" applyFont="1" applyFill="1" applyBorder="1"/>
    <xf numFmtId="0" fontId="34" fillId="2" borderId="4" xfId="0" applyFont="1" applyFill="1" applyBorder="1"/>
    <xf numFmtId="0" fontId="25" fillId="2" borderId="5" xfId="0" applyFont="1" applyFill="1" applyBorder="1"/>
    <xf numFmtId="0" fontId="52" fillId="2" borderId="6" xfId="0" applyFont="1" applyFill="1" applyBorder="1"/>
    <xf numFmtId="0" fontId="31" fillId="2" borderId="7" xfId="0" applyFont="1" applyFill="1" applyBorder="1"/>
    <xf numFmtId="0" fontId="32" fillId="2" borderId="7" xfId="0" applyFont="1" applyFill="1" applyBorder="1"/>
    <xf numFmtId="0" fontId="34" fillId="2" borderId="7" xfId="0" applyFont="1" applyFill="1" applyBorder="1"/>
    <xf numFmtId="0" fontId="33" fillId="2" borderId="4" xfId="0" applyFont="1" applyFill="1" applyBorder="1" applyAlignment="1">
      <alignment horizontal="left" indent="8"/>
    </xf>
    <xf numFmtId="0" fontId="33" fillId="2" borderId="4" xfId="0" applyFont="1" applyFill="1" applyBorder="1" applyAlignment="1"/>
    <xf numFmtId="0" fontId="35" fillId="2" borderId="4" xfId="0" applyFont="1" applyFill="1" applyBorder="1"/>
    <xf numFmtId="0" fontId="29" fillId="2" borderId="6" xfId="0" applyFont="1" applyFill="1" applyBorder="1"/>
    <xf numFmtId="2" fontId="32" fillId="2" borderId="7" xfId="0" applyNumberFormat="1" applyFont="1" applyFill="1" applyBorder="1" applyAlignment="1">
      <alignment horizontal="center"/>
    </xf>
    <xf numFmtId="0" fontId="32" fillId="2" borderId="8" xfId="0" applyFont="1" applyFill="1" applyBorder="1"/>
    <xf numFmtId="0" fontId="33" fillId="2" borderId="7" xfId="0" applyFont="1" applyFill="1" applyBorder="1" applyAlignment="1"/>
    <xf numFmtId="0" fontId="37" fillId="2" borderId="3" xfId="2" applyFont="1" applyFill="1" applyBorder="1" applyAlignment="1" applyProtection="1">
      <alignment horizontal="center"/>
    </xf>
    <xf numFmtId="0" fontId="37" fillId="2" borderId="4" xfId="2" applyFont="1" applyFill="1" applyBorder="1" applyAlignment="1" applyProtection="1">
      <alignment horizontal="center"/>
    </xf>
    <xf numFmtId="0" fontId="37" fillId="2" borderId="5" xfId="2" applyFont="1" applyFill="1" applyBorder="1" applyAlignment="1" applyProtection="1">
      <alignment horizontal="center"/>
    </xf>
    <xf numFmtId="0" fontId="55" fillId="6" borderId="1" xfId="0" quotePrefix="1" applyFont="1" applyFill="1" applyBorder="1"/>
    <xf numFmtId="0" fontId="32" fillId="8" borderId="9" xfId="0" applyFont="1" applyFill="1" applyBorder="1" applyProtection="1">
      <protection locked="0"/>
    </xf>
    <xf numFmtId="0" fontId="57" fillId="2" borderId="6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2" fillId="2" borderId="0" xfId="0" applyFont="1" applyFill="1"/>
    <xf numFmtId="0" fontId="57" fillId="2" borderId="1" xfId="0" applyFont="1" applyFill="1" applyBorder="1"/>
    <xf numFmtId="0" fontId="58" fillId="2" borderId="0" xfId="0" applyFont="1" applyFill="1" applyBorder="1"/>
    <xf numFmtId="0" fontId="58" fillId="2" borderId="2" xfId="0" applyFont="1" applyFill="1" applyBorder="1"/>
    <xf numFmtId="0" fontId="12" fillId="2" borderId="1" xfId="0" applyFont="1" applyFill="1" applyBorder="1"/>
    <xf numFmtId="1" fontId="12" fillId="2" borderId="9" xfId="0" applyNumberFormat="1" applyFont="1" applyFill="1" applyBorder="1" applyAlignment="1">
      <alignment horizontal="center"/>
    </xf>
    <xf numFmtId="0" fontId="12" fillId="2" borderId="2" xfId="0" applyFont="1" applyFill="1" applyBorder="1"/>
    <xf numFmtId="1" fontId="12" fillId="2" borderId="0" xfId="0" applyNumberFormat="1" applyFont="1" applyFill="1" applyBorder="1" applyAlignment="1">
      <alignment horizontal="center"/>
    </xf>
    <xf numFmtId="0" fontId="13" fillId="2" borderId="1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left" indent="1"/>
    </xf>
    <xf numFmtId="0" fontId="59" fillId="2" borderId="1" xfId="0" applyFont="1" applyFill="1" applyBorder="1" applyAlignment="1">
      <alignment horizontal="left" indent="1"/>
    </xf>
    <xf numFmtId="168" fontId="12" fillId="2" borderId="9" xfId="1" applyNumberFormat="1" applyFont="1" applyFill="1" applyBorder="1" applyAlignment="1">
      <alignment horizontal="center"/>
    </xf>
    <xf numFmtId="0" fontId="59" fillId="2" borderId="1" xfId="0" applyFont="1" applyFill="1" applyBorder="1"/>
    <xf numFmtId="168" fontId="12" fillId="2" borderId="0" xfId="1" applyNumberFormat="1" applyFont="1" applyFill="1" applyBorder="1" applyAlignment="1">
      <alignment horizontal="center"/>
    </xf>
    <xf numFmtId="168" fontId="12" fillId="2" borderId="9" xfId="0" applyNumberFormat="1" applyFont="1" applyFill="1" applyBorder="1" applyAlignment="1">
      <alignment horizontal="center"/>
    </xf>
    <xf numFmtId="0" fontId="12" fillId="2" borderId="3" xfId="0" applyFont="1" applyFill="1" applyBorder="1"/>
    <xf numFmtId="0" fontId="12" fillId="2" borderId="4" xfId="0" applyFont="1" applyFill="1" applyBorder="1"/>
    <xf numFmtId="0" fontId="12" fillId="2" borderId="5" xfId="0" applyFont="1" applyFill="1" applyBorder="1"/>
    <xf numFmtId="0" fontId="12" fillId="0" borderId="0" xfId="0" applyFont="1" applyProtection="1">
      <protection locked="0" hidden="1"/>
    </xf>
    <xf numFmtId="0" fontId="12" fillId="0" borderId="0" xfId="0" applyFont="1" applyAlignment="1" applyProtection="1">
      <alignment horizontal="center"/>
      <protection locked="0" hidden="1"/>
    </xf>
    <xf numFmtId="1" fontId="12" fillId="0" borderId="0" xfId="0" applyNumberFormat="1" applyFont="1" applyProtection="1">
      <protection locked="0" hidden="1"/>
    </xf>
    <xf numFmtId="0" fontId="12" fillId="0" borderId="0" xfId="0" applyFont="1" applyFill="1" applyProtection="1">
      <protection locked="0" hidden="1"/>
    </xf>
    <xf numFmtId="0" fontId="13" fillId="0" borderId="0" xfId="0" applyFont="1" applyProtection="1">
      <protection locked="0" hidden="1"/>
    </xf>
    <xf numFmtId="11" fontId="12" fillId="0" borderId="0" xfId="0" applyNumberFormat="1" applyFont="1" applyProtection="1">
      <protection locked="0" hidden="1"/>
    </xf>
    <xf numFmtId="165" fontId="12" fillId="0" borderId="0" xfId="0" applyNumberFormat="1" applyFont="1" applyProtection="1">
      <protection locked="0" hidden="1"/>
    </xf>
    <xf numFmtId="2" fontId="12" fillId="0" borderId="0" xfId="0" applyNumberFormat="1" applyFont="1" applyProtection="1">
      <protection locked="0" hidden="1"/>
    </xf>
    <xf numFmtId="169" fontId="12" fillId="0" borderId="0" xfId="0" applyNumberFormat="1" applyFont="1" applyProtection="1">
      <protection locked="0" hidden="1"/>
    </xf>
    <xf numFmtId="0" fontId="17" fillId="0" borderId="0" xfId="0" applyFont="1" applyProtection="1">
      <protection locked="0" hidden="1"/>
    </xf>
    <xf numFmtId="167" fontId="12" fillId="0" borderId="0" xfId="0" applyNumberFormat="1" applyFont="1" applyProtection="1">
      <protection locked="0" hidden="1"/>
    </xf>
    <xf numFmtId="0" fontId="18" fillId="0" borderId="0" xfId="0" applyFont="1" applyProtection="1">
      <protection locked="0" hidden="1"/>
    </xf>
    <xf numFmtId="11" fontId="12" fillId="0" borderId="0" xfId="0" applyNumberFormat="1" applyFont="1" applyAlignment="1" applyProtection="1">
      <alignment horizontal="center"/>
      <protection locked="0" hidden="1"/>
    </xf>
    <xf numFmtId="0" fontId="12" fillId="0" borderId="15" xfId="0" applyFont="1" applyBorder="1" applyProtection="1">
      <protection locked="0" hidden="1"/>
    </xf>
    <xf numFmtId="0" fontId="12" fillId="0" borderId="15" xfId="0" applyFont="1" applyBorder="1" applyAlignment="1" applyProtection="1">
      <alignment horizontal="center"/>
      <protection locked="0" hidden="1"/>
    </xf>
    <xf numFmtId="167" fontId="12" fillId="0" borderId="15" xfId="0" applyNumberFormat="1" applyFont="1" applyBorder="1" applyProtection="1">
      <protection locked="0" hidden="1"/>
    </xf>
    <xf numFmtId="0" fontId="12" fillId="0" borderId="14" xfId="0" applyFont="1" applyBorder="1" applyProtection="1">
      <protection locked="0" hidden="1"/>
    </xf>
    <xf numFmtId="0" fontId="12" fillId="0" borderId="14" xfId="0" applyFont="1" applyBorder="1" applyAlignment="1" applyProtection="1">
      <alignment horizontal="center"/>
      <protection locked="0" hidden="1"/>
    </xf>
    <xf numFmtId="167" fontId="12" fillId="0" borderId="14" xfId="0" applyNumberFormat="1" applyFont="1" applyBorder="1" applyProtection="1">
      <protection locked="0" hidden="1"/>
    </xf>
    <xf numFmtId="1" fontId="12" fillId="0" borderId="15" xfId="0" applyNumberFormat="1" applyFont="1" applyBorder="1" applyProtection="1">
      <protection locked="0" hidden="1"/>
    </xf>
    <xf numFmtId="0" fontId="12" fillId="0" borderId="0" xfId="0" applyFont="1" applyBorder="1" applyProtection="1">
      <protection locked="0" hidden="1"/>
    </xf>
    <xf numFmtId="0" fontId="12" fillId="0" borderId="0" xfId="0" applyFont="1" applyBorder="1" applyAlignment="1" applyProtection="1">
      <alignment horizontal="center"/>
      <protection locked="0" hidden="1"/>
    </xf>
    <xf numFmtId="1" fontId="12" fillId="0" borderId="0" xfId="0" applyNumberFormat="1" applyFont="1" applyBorder="1" applyProtection="1">
      <protection locked="0" hidden="1"/>
    </xf>
    <xf numFmtId="167" fontId="12" fillId="0" borderId="0" xfId="0" applyNumberFormat="1" applyFont="1" applyBorder="1" applyProtection="1">
      <protection locked="0" hidden="1"/>
    </xf>
    <xf numFmtId="0" fontId="44" fillId="2" borderId="1" xfId="2" applyFont="1" applyFill="1" applyBorder="1" applyAlignment="1" applyProtection="1">
      <alignment horizontal="center"/>
    </xf>
    <xf numFmtId="0" fontId="44" fillId="0" borderId="0" xfId="2" applyFont="1" applyAlignment="1" applyProtection="1">
      <alignment horizontal="center"/>
    </xf>
    <xf numFmtId="0" fontId="44" fillId="0" borderId="2" xfId="2" applyFont="1" applyBorder="1" applyAlignment="1" applyProtection="1">
      <alignment horizontal="center"/>
    </xf>
    <xf numFmtId="0" fontId="40" fillId="4" borderId="6" xfId="0" applyFont="1" applyFill="1" applyBorder="1" applyAlignment="1">
      <alignment horizontal="center" vertical="center"/>
    </xf>
    <xf numFmtId="0" fontId="41" fillId="4" borderId="7" xfId="0" applyFont="1" applyFill="1" applyBorder="1" applyAlignment="1">
      <alignment horizontal="center"/>
    </xf>
    <xf numFmtId="0" fontId="41" fillId="4" borderId="8" xfId="0" applyFont="1" applyFill="1" applyBorder="1" applyAlignment="1">
      <alignment horizontal="center"/>
    </xf>
    <xf numFmtId="0" fontId="42" fillId="4" borderId="1" xfId="0" applyFont="1" applyFill="1" applyBorder="1" applyAlignment="1">
      <alignment horizontal="center"/>
    </xf>
    <xf numFmtId="0" fontId="41" fillId="4" borderId="0" xfId="0" applyFont="1" applyFill="1" applyAlignment="1"/>
    <xf numFmtId="0" fontId="41" fillId="4" borderId="2" xfId="0" applyFont="1" applyFill="1" applyBorder="1" applyAlignment="1"/>
    <xf numFmtId="0" fontId="32" fillId="2" borderId="1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2" xfId="0" applyFont="1" applyBorder="1" applyAlignment="1">
      <alignment horizontal="center"/>
    </xf>
    <xf numFmtId="0" fontId="37" fillId="7" borderId="0" xfId="2" applyFont="1" applyFill="1" applyBorder="1" applyAlignment="1" applyProtection="1">
      <alignment horizontal="center"/>
    </xf>
    <xf numFmtId="0" fontId="39" fillId="2" borderId="1" xfId="0" applyFont="1" applyFill="1" applyBorder="1" applyAlignment="1">
      <alignment horizontal="center" vertical="center"/>
    </xf>
    <xf numFmtId="0" fontId="39" fillId="2" borderId="0" xfId="0" applyFont="1" applyFill="1" applyBorder="1" applyAlignment="1">
      <alignment horizontal="center" vertical="center"/>
    </xf>
    <xf numFmtId="0" fontId="39" fillId="2" borderId="2" xfId="0" applyFont="1" applyFill="1" applyBorder="1" applyAlignment="1">
      <alignment horizontal="center" vertical="center"/>
    </xf>
    <xf numFmtId="0" fontId="39" fillId="2" borderId="3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50" fillId="2" borderId="11" xfId="0" applyFont="1" applyFill="1" applyBorder="1" applyAlignment="1">
      <alignment horizontal="center" vertical="center"/>
    </xf>
    <xf numFmtId="0" fontId="51" fillId="0" borderId="12" xfId="0" applyFont="1" applyBorder="1" applyAlignment="1">
      <alignment horizontal="center" vertical="center"/>
    </xf>
    <xf numFmtId="0" fontId="51" fillId="0" borderId="13" xfId="0" applyFont="1" applyBorder="1" applyAlignment="1">
      <alignment horizontal="center" vertical="center"/>
    </xf>
    <xf numFmtId="0" fontId="25" fillId="2" borderId="6" xfId="2" applyFont="1" applyFill="1" applyBorder="1" applyAlignment="1" applyProtection="1">
      <alignment horizontal="center"/>
    </xf>
    <xf numFmtId="0" fontId="25" fillId="2" borderId="7" xfId="2" applyFont="1" applyFill="1" applyBorder="1" applyAlignment="1" applyProtection="1">
      <alignment horizontal="center"/>
    </xf>
    <xf numFmtId="0" fontId="25" fillId="2" borderId="8" xfId="2" applyFont="1" applyFill="1" applyBorder="1" applyAlignment="1" applyProtection="1">
      <alignment horizontal="center"/>
    </xf>
    <xf numFmtId="0" fontId="37" fillId="2" borderId="1" xfId="2" applyFont="1" applyFill="1" applyBorder="1" applyAlignment="1" applyProtection="1">
      <alignment horizontal="center"/>
    </xf>
    <xf numFmtId="0" fontId="37" fillId="2" borderId="0" xfId="2" applyFont="1" applyFill="1" applyBorder="1" applyAlignment="1" applyProtection="1">
      <alignment horizontal="center"/>
    </xf>
    <xf numFmtId="0" fontId="37" fillId="2" borderId="2" xfId="2" applyFont="1" applyFill="1" applyBorder="1" applyAlignment="1" applyProtection="1">
      <alignment horizontal="center"/>
    </xf>
    <xf numFmtId="0" fontId="24" fillId="4" borderId="11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4" fillId="4" borderId="12" xfId="0" applyFont="1" applyFill="1" applyBorder="1" applyAlignment="1">
      <alignment horizontal="center" vertical="center"/>
    </xf>
    <xf numFmtId="0" fontId="24" fillId="4" borderId="13" xfId="0" applyFont="1" applyFill="1" applyBorder="1" applyAlignment="1">
      <alignment horizontal="center" vertical="center"/>
    </xf>
    <xf numFmtId="0" fontId="3" fillId="2" borderId="1" xfId="2" applyFill="1" applyBorder="1" applyAlignment="1" applyProtection="1">
      <alignment horizontal="center"/>
    </xf>
    <xf numFmtId="0" fontId="3" fillId="2" borderId="0" xfId="2" applyFill="1" applyBorder="1" applyAlignment="1" applyProtection="1">
      <alignment horizontal="center"/>
    </xf>
    <xf numFmtId="0" fontId="3" fillId="2" borderId="2" xfId="2" applyFill="1" applyBorder="1" applyAlignment="1" applyProtection="1">
      <alignment horizontal="center"/>
    </xf>
    <xf numFmtId="1" fontId="28" fillId="2" borderId="6" xfId="0" applyNumberFormat="1" applyFont="1" applyFill="1" applyBorder="1" applyAlignment="1">
      <alignment horizontal="center"/>
    </xf>
    <xf numFmtId="0" fontId="29" fillId="0" borderId="7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48" fillId="0" borderId="11" xfId="2" applyFont="1" applyBorder="1" applyAlignment="1" applyProtection="1">
      <alignment horizontal="center" vertical="center"/>
    </xf>
    <xf numFmtId="0" fontId="48" fillId="0" borderId="13" xfId="2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wrapText="1"/>
      <protection locked="0" hidden="1"/>
    </xf>
    <xf numFmtId="0" fontId="12" fillId="0" borderId="14" xfId="0" applyFont="1" applyBorder="1" applyAlignment="1" applyProtection="1">
      <alignment horizontal="center" wrapText="1"/>
      <protection locked="0" hidden="1"/>
    </xf>
    <xf numFmtId="0" fontId="12" fillId="0" borderId="15" xfId="0" applyFont="1" applyBorder="1" applyAlignment="1" applyProtection="1">
      <alignment horizontal="center" vertical="center" wrapText="1"/>
      <protection locked="0" hidden="1"/>
    </xf>
    <xf numFmtId="0" fontId="12" fillId="0" borderId="0" xfId="0" applyFont="1" applyBorder="1" applyAlignment="1" applyProtection="1">
      <alignment horizontal="center" vertical="center" wrapText="1"/>
      <protection locked="0" hidden="1"/>
    </xf>
    <xf numFmtId="0" fontId="12" fillId="0" borderId="14" xfId="0" applyFont="1" applyBorder="1" applyAlignment="1" applyProtection="1">
      <alignment horizontal="center" vertical="center" wrapText="1"/>
      <protection locked="0" hidden="1"/>
    </xf>
    <xf numFmtId="0" fontId="1" fillId="0" borderId="0" xfId="0" applyFont="1"/>
    <xf numFmtId="0" fontId="1" fillId="0" borderId="0" xfId="0" applyNumberFormat="1" applyFont="1"/>
    <xf numFmtId="171" fontId="12" fillId="0" borderId="0" xfId="0" applyNumberFormat="1" applyFont="1"/>
    <xf numFmtId="166" fontId="12" fillId="0" borderId="0" xfId="1" applyNumberFormat="1" applyFont="1" applyFill="1"/>
    <xf numFmtId="172" fontId="12" fillId="0" borderId="0" xfId="0" applyNumberFormat="1" applyFont="1"/>
  </cellXfs>
  <cellStyles count="3">
    <cellStyle name="Komma" xfId="1" builtinId="3"/>
    <cellStyle name="Link" xfId="2" builtinId="8"/>
    <cellStyle name="Normal" xfId="0" builtinId="0"/>
  </cellStyles>
  <dxfs count="0"/>
  <tableStyles count="0" defaultTableStyle="TableStyleMedium9" defaultPivotStyle="PivotStyleLight16"/>
  <colors>
    <mruColors>
      <color rgb="FF003C71"/>
      <color rgb="FF003B71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43" dropStyle="combo" dx="22" fmlaLink="Sheet6!$B$3" fmlaRange="Sheet5!$A$3:$A$45" noThreeD="1" sel="33" val="0"/>
</file>

<file path=xl/ctrlProps/ctrlProp2.xml><?xml version="1.0" encoding="utf-8"?>
<formControlPr xmlns="http://schemas.microsoft.com/office/spreadsheetml/2009/9/main" objectType="Drop" dropStyle="combo" dx="22" fmlaLink="Sheet6!$B$4" fmlaRange="Sheet5!$C$3:$C$8" noThreeD="1" sel="4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9524</xdr:colOff>
      <xdr:row>1</xdr:row>
      <xdr:rowOff>9519</xdr:rowOff>
    </xdr:from>
    <xdr:to>
      <xdr:col>4</xdr:col>
      <xdr:colOff>88414</xdr:colOff>
      <xdr:row>1</xdr:row>
      <xdr:rowOff>537817</xdr:rowOff>
    </xdr:to>
    <xdr:pic>
      <xdr:nvPicPr>
        <xdr:cNvPr id="2" name="Picture 6" descr="Logo&#10;&#10;Description automatically generated">
          <a:extLst>
            <a:ext uri="{FF2B5EF4-FFF2-40B4-BE49-F238E27FC236}">
              <a16:creationId xmlns:a16="http://schemas.microsoft.com/office/drawing/2014/main" id="{A0166BCF-179B-4592-9722-5390D1086B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97" t="23978" r="13874" b="23499"/>
        <a:stretch/>
      </xdr:blipFill>
      <xdr:spPr>
        <a:xfrm>
          <a:off x="228599" y="209544"/>
          <a:ext cx="964715" cy="528298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</xdr:row>
          <xdr:rowOff>28575</xdr:rowOff>
        </xdr:from>
        <xdr:to>
          <xdr:col>5</xdr:col>
          <xdr:colOff>638175</xdr:colOff>
          <xdr:row>7</xdr:row>
          <xdr:rowOff>47625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9525</xdr:rowOff>
        </xdr:from>
        <xdr:to>
          <xdr:col>4</xdr:col>
          <xdr:colOff>342900</xdr:colOff>
          <xdr:row>9</xdr:row>
          <xdr:rowOff>85725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</xdr:colOff>
      <xdr:row>1</xdr:row>
      <xdr:rowOff>2</xdr:rowOff>
    </xdr:from>
    <xdr:to>
      <xdr:col>2</xdr:col>
      <xdr:colOff>242436</xdr:colOff>
      <xdr:row>1</xdr:row>
      <xdr:rowOff>336192</xdr:rowOff>
    </xdr:to>
    <xdr:pic>
      <xdr:nvPicPr>
        <xdr:cNvPr id="3" name="Picture 6" descr="Logo&#10;&#10;Description automatically generated">
          <a:extLst>
            <a:ext uri="{FF2B5EF4-FFF2-40B4-BE49-F238E27FC236}">
              <a16:creationId xmlns:a16="http://schemas.microsoft.com/office/drawing/2014/main" id="{1C1E46F7-8A56-47A4-BBBA-18039117316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97" t="23978" r="13874" b="23499"/>
        <a:stretch/>
      </xdr:blipFill>
      <xdr:spPr>
        <a:xfrm>
          <a:off x="171451" y="85727"/>
          <a:ext cx="613910" cy="336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3" Type="http://schemas.openxmlformats.org/officeDocument/2006/relationships/hyperlink" Target="mailto:pz@ferroperm-piezo.com?subject=Reg%20Piezoelectric%20Calculator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ctscorp.com/" TargetMode="External"/><Relationship Id="rId1" Type="http://schemas.openxmlformats.org/officeDocument/2006/relationships/hyperlink" Target="http://www.ferroperm-piezo.com/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10" Type="http://schemas.openxmlformats.org/officeDocument/2006/relationships/comments" Target="../comments1.xml"/><Relationship Id="rId4" Type="http://schemas.openxmlformats.org/officeDocument/2006/relationships/hyperlink" Target="https://www.ctscorp.com/Contact-Us" TargetMode="External"/><Relationship Id="rId9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0">
    <pageSetUpPr fitToPage="1"/>
  </sheetPr>
  <dimension ref="A1:L24"/>
  <sheetViews>
    <sheetView tabSelected="1" workbookViewId="0"/>
  </sheetViews>
  <sheetFormatPr defaultColWidth="8.85546875" defaultRowHeight="15" x14ac:dyDescent="0.2"/>
  <cols>
    <col min="1" max="1" width="3.28515625" style="10" customWidth="1"/>
    <col min="2" max="6" width="4.42578125" style="8" customWidth="1"/>
    <col min="7" max="7" width="99" style="8" customWidth="1"/>
    <col min="8" max="8" width="4.7109375" style="8" customWidth="1"/>
    <col min="9" max="12" width="4.7109375" style="10" customWidth="1"/>
    <col min="13" max="16384" width="8.85546875" style="10"/>
  </cols>
  <sheetData>
    <row r="1" spans="1:12" ht="15.75" thickBot="1" x14ac:dyDescent="0.25"/>
    <row r="2" spans="1:12" s="14" customFormat="1" ht="51.75" customHeight="1" x14ac:dyDescent="0.2">
      <c r="A2" s="13"/>
      <c r="B2" s="163" t="s">
        <v>114</v>
      </c>
      <c r="C2" s="164"/>
      <c r="D2" s="164"/>
      <c r="E2" s="164"/>
      <c r="F2" s="164"/>
      <c r="G2" s="164"/>
      <c r="H2" s="164"/>
      <c r="I2" s="164"/>
      <c r="J2" s="164"/>
      <c r="K2" s="164"/>
      <c r="L2" s="165"/>
    </row>
    <row r="3" spans="1:12" s="14" customFormat="1" ht="27" customHeight="1" x14ac:dyDescent="0.35">
      <c r="A3" s="13"/>
      <c r="B3" s="166" t="s">
        <v>311</v>
      </c>
      <c r="C3" s="167"/>
      <c r="D3" s="167"/>
      <c r="E3" s="167"/>
      <c r="F3" s="167"/>
      <c r="G3" s="167"/>
      <c r="H3" s="167"/>
      <c r="I3" s="167"/>
      <c r="J3" s="167"/>
      <c r="K3" s="167"/>
      <c r="L3" s="168"/>
    </row>
    <row r="4" spans="1:12" s="14" customFormat="1" ht="17.25" customHeight="1" x14ac:dyDescent="0.25">
      <c r="A4" s="13"/>
      <c r="B4" s="67"/>
      <c r="C4" s="68"/>
      <c r="D4" s="60"/>
      <c r="E4" s="60"/>
      <c r="F4" s="69"/>
      <c r="G4" s="70"/>
      <c r="H4" s="60"/>
      <c r="I4" s="71"/>
      <c r="J4" s="71"/>
      <c r="K4" s="71"/>
      <c r="L4" s="72"/>
    </row>
    <row r="5" spans="1:12" ht="24" customHeight="1" x14ac:dyDescent="0.25">
      <c r="A5" s="12"/>
      <c r="B5" s="169" t="s">
        <v>115</v>
      </c>
      <c r="C5" s="170"/>
      <c r="D5" s="170"/>
      <c r="E5" s="170"/>
      <c r="F5" s="170"/>
      <c r="G5" s="170"/>
      <c r="H5" s="170"/>
      <c r="I5" s="170"/>
      <c r="J5" s="170"/>
      <c r="K5" s="170"/>
      <c r="L5" s="171"/>
    </row>
    <row r="6" spans="1:12" ht="24" customHeight="1" x14ac:dyDescent="0.25">
      <c r="A6" s="12"/>
      <c r="B6" s="169" t="s">
        <v>116</v>
      </c>
      <c r="C6" s="170"/>
      <c r="D6" s="170"/>
      <c r="E6" s="170"/>
      <c r="F6" s="170"/>
      <c r="G6" s="170"/>
      <c r="H6" s="170"/>
      <c r="I6" s="170"/>
      <c r="J6" s="170"/>
      <c r="K6" s="170"/>
      <c r="L6" s="171"/>
    </row>
    <row r="7" spans="1:12" ht="24" customHeight="1" x14ac:dyDescent="0.25">
      <c r="A7" s="12"/>
      <c r="B7" s="160" t="s">
        <v>113</v>
      </c>
      <c r="C7" s="161"/>
      <c r="D7" s="161"/>
      <c r="E7" s="161"/>
      <c r="F7" s="161"/>
      <c r="G7" s="161"/>
      <c r="H7" s="161"/>
      <c r="I7" s="161"/>
      <c r="J7" s="161"/>
      <c r="K7" s="161"/>
      <c r="L7" s="162"/>
    </row>
    <row r="8" spans="1:12" ht="15.75" x14ac:dyDescent="0.25">
      <c r="A8" s="12"/>
      <c r="B8" s="67"/>
      <c r="C8" s="60"/>
      <c r="D8" s="60"/>
      <c r="E8" s="60"/>
      <c r="F8" s="60"/>
      <c r="G8" s="60"/>
      <c r="H8" s="60"/>
      <c r="I8" s="60"/>
      <c r="J8" s="60"/>
      <c r="K8" s="60"/>
      <c r="L8" s="54"/>
    </row>
    <row r="9" spans="1:12" ht="15.75" x14ac:dyDescent="0.25">
      <c r="A9" s="12"/>
      <c r="B9" s="67"/>
      <c r="C9" s="60"/>
      <c r="D9" s="60"/>
      <c r="E9" s="60"/>
      <c r="F9" s="60"/>
      <c r="G9" s="60"/>
      <c r="H9" s="60"/>
      <c r="I9" s="60"/>
      <c r="J9" s="60"/>
      <c r="K9" s="60"/>
      <c r="L9" s="54"/>
    </row>
    <row r="10" spans="1:12" ht="38.25" customHeight="1" x14ac:dyDescent="0.25">
      <c r="A10" s="12"/>
      <c r="B10" s="67"/>
      <c r="C10" s="60"/>
      <c r="D10" s="60"/>
      <c r="E10" s="73"/>
      <c r="F10" s="73"/>
      <c r="G10" s="85" t="s">
        <v>102</v>
      </c>
      <c r="H10" s="60"/>
      <c r="I10" s="60"/>
      <c r="J10" s="60"/>
      <c r="K10" s="60"/>
      <c r="L10" s="54"/>
    </row>
    <row r="11" spans="1:12" ht="16.5" thickBot="1" x14ac:dyDescent="0.3">
      <c r="A11" s="8"/>
      <c r="B11" s="74"/>
      <c r="C11" s="75"/>
      <c r="D11" s="75"/>
      <c r="E11" s="75"/>
      <c r="F11" s="75"/>
      <c r="G11" s="76"/>
      <c r="H11" s="75"/>
      <c r="I11" s="75"/>
      <c r="J11" s="75"/>
      <c r="K11" s="75"/>
      <c r="L11" s="77"/>
    </row>
    <row r="14" spans="1:12" x14ac:dyDescent="0.2">
      <c r="A14" s="8"/>
    </row>
    <row r="15" spans="1:12" x14ac:dyDescent="0.2">
      <c r="A15" s="8"/>
    </row>
    <row r="16" spans="1:12" x14ac:dyDescent="0.2">
      <c r="A16" s="8"/>
    </row>
    <row r="24" spans="8:8" ht="19.5" customHeight="1" x14ac:dyDescent="0.2">
      <c r="H24" s="15"/>
    </row>
  </sheetData>
  <sheetProtection algorithmName="SHA-512" hashValue="M8HFPJOqP1A/M7c4Wazl2q4lpwYc+jg5jUicwtf6i1VFbZvVx6hfGOCBrVk+jZiY6soXF8k1WnBZrow7BUTV3Q==" saltValue="w5xXYTVVe8a7/3B27ZoQSw==" spinCount="100000" sheet="1" objects="1" scenarios="1"/>
  <mergeCells count="5">
    <mergeCell ref="B7:L7"/>
    <mergeCell ref="B2:L2"/>
    <mergeCell ref="B3:L3"/>
    <mergeCell ref="B5:L5"/>
    <mergeCell ref="B6:L6"/>
  </mergeCells>
  <phoneticPr fontId="0" type="noConversion"/>
  <hyperlinks>
    <hyperlink ref="G10" location="'Front page'!A1" display="CONTINUE TO CALCULATIONS" xr:uid="{00000000-0004-0000-0000-000000000000}"/>
    <hyperlink ref="B7:L7" location="Notes!A1" display="Please also see the notes to this spreadsheet regarding assumptions and limitations. " xr:uid="{516B314C-416D-4EA5-A6CF-F3B28E360817}"/>
  </hyperlinks>
  <pageMargins left="0.75" right="0.75" top="1" bottom="1" header="0" footer="0"/>
  <pageSetup paperSize="9" scale="6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7"/>
  <dimension ref="A1:J41"/>
  <sheetViews>
    <sheetView workbookViewId="0">
      <selection activeCell="B20" sqref="B20:C20"/>
    </sheetView>
  </sheetViews>
  <sheetFormatPr defaultRowHeight="12.75" x14ac:dyDescent="0.2"/>
  <cols>
    <col min="1" max="1" width="11.7109375" customWidth="1"/>
    <col min="2" max="2" width="20.7109375" customWidth="1"/>
    <col min="5" max="5" width="22.42578125" bestFit="1" customWidth="1"/>
    <col min="6" max="6" width="14.5703125" bestFit="1" customWidth="1"/>
  </cols>
  <sheetData>
    <row r="1" spans="1:10" x14ac:dyDescent="0.2">
      <c r="A1" s="16" t="s">
        <v>76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">
      <c r="A2" s="16" t="s">
        <v>50</v>
      </c>
      <c r="B2" s="16"/>
      <c r="C2" s="16">
        <v>4</v>
      </c>
      <c r="D2" s="16"/>
      <c r="E2" s="16"/>
      <c r="F2" s="16"/>
      <c r="G2" s="16"/>
      <c r="H2" s="16"/>
      <c r="I2" s="16"/>
      <c r="J2" s="16"/>
    </row>
    <row r="3" spans="1:10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">
      <c r="A4" s="16"/>
      <c r="B4" s="16"/>
      <c r="C4" s="16"/>
      <c r="D4" s="16"/>
      <c r="E4" s="16"/>
      <c r="F4" s="21"/>
      <c r="G4" s="16"/>
      <c r="H4" s="16"/>
      <c r="I4" s="16"/>
      <c r="J4" s="16"/>
    </row>
    <row r="5" spans="1:10" x14ac:dyDescent="0.2">
      <c r="A5" s="16" t="s">
        <v>34</v>
      </c>
      <c r="B5" s="16"/>
      <c r="C5" s="16"/>
      <c r="D5" s="16"/>
      <c r="E5" s="16" t="s">
        <v>35</v>
      </c>
      <c r="F5" s="21"/>
      <c r="G5" s="16"/>
      <c r="H5" s="16"/>
      <c r="I5" s="16"/>
      <c r="J5" s="16"/>
    </row>
    <row r="6" spans="1:10" ht="15.75" x14ac:dyDescent="0.3">
      <c r="A6" s="16" t="s">
        <v>205</v>
      </c>
      <c r="B6" s="21">
        <f>Sheet6!C12</f>
        <v>1795.99</v>
      </c>
      <c r="C6" s="16"/>
      <c r="D6" s="16"/>
      <c r="E6" s="16"/>
      <c r="F6" s="21"/>
      <c r="G6" s="16"/>
      <c r="H6" s="16"/>
      <c r="I6" s="16"/>
      <c r="J6" s="16"/>
    </row>
    <row r="7" spans="1:10" ht="15.75" x14ac:dyDescent="0.3">
      <c r="A7" s="16" t="s">
        <v>206</v>
      </c>
      <c r="B7" s="21">
        <f>Sheet6!C13</f>
        <v>1802.77</v>
      </c>
      <c r="C7" s="16"/>
      <c r="D7" s="16"/>
      <c r="E7" s="16" t="s">
        <v>98</v>
      </c>
      <c r="F7" s="21">
        <f>IF(PRODUCT(Sheet5!N13:N15)=1,1000000000000*(B7*Sheet6!C72*C28*C29)/C30,"N/A")</f>
        <v>31924.115661021999</v>
      </c>
      <c r="G7" s="16" t="s">
        <v>2</v>
      </c>
      <c r="H7" s="16"/>
      <c r="I7" s="16"/>
      <c r="J7" s="16"/>
    </row>
    <row r="8" spans="1:10" ht="15.75" x14ac:dyDescent="0.3">
      <c r="A8" s="23" t="s">
        <v>229</v>
      </c>
      <c r="B8" s="16">
        <f>Sheet6!C35</f>
        <v>2011.08</v>
      </c>
      <c r="C8" s="16" t="s">
        <v>21</v>
      </c>
      <c r="D8" s="16"/>
      <c r="E8" s="16" t="s">
        <v>49</v>
      </c>
      <c r="F8" s="21">
        <f>IF(C28&gt;0,0.001*B10/C28,"N/A")</f>
        <v>28</v>
      </c>
      <c r="G8" s="16" t="s">
        <v>3</v>
      </c>
      <c r="H8" s="16"/>
      <c r="I8" s="16"/>
      <c r="J8" s="16"/>
    </row>
    <row r="9" spans="1:10" ht="15.75" x14ac:dyDescent="0.3">
      <c r="A9" s="23" t="s">
        <v>230</v>
      </c>
      <c r="B9" s="16">
        <f>Sheet6!C36</f>
        <v>1952.94</v>
      </c>
      <c r="C9" s="16" t="s">
        <v>21</v>
      </c>
      <c r="D9" s="16"/>
      <c r="E9" s="16" t="s">
        <v>154</v>
      </c>
      <c r="F9" s="21">
        <f>IF(C29&gt;0,0.001*B10/C29,"N/A")</f>
        <v>35</v>
      </c>
      <c r="G9" s="16" t="s">
        <v>3</v>
      </c>
      <c r="H9" s="16"/>
      <c r="I9" s="16"/>
      <c r="J9" s="16"/>
    </row>
    <row r="10" spans="1:10" ht="15.75" x14ac:dyDescent="0.3">
      <c r="A10" s="23" t="s">
        <v>231</v>
      </c>
      <c r="B10" s="16">
        <f>Sheet6!C37</f>
        <v>1400</v>
      </c>
      <c r="C10" s="16" t="s">
        <v>21</v>
      </c>
      <c r="D10" s="16"/>
      <c r="E10" s="16" t="s">
        <v>5</v>
      </c>
      <c r="F10" s="27">
        <f>IF(PRODUCT(Sheet5!N13:N15)=1,0.001*B14/C30,"N/A")</f>
        <v>1952.94</v>
      </c>
      <c r="G10" s="16" t="s">
        <v>3</v>
      </c>
      <c r="H10" s="16"/>
      <c r="I10" s="16"/>
      <c r="J10" s="16"/>
    </row>
    <row r="11" spans="1:10" ht="15.75" x14ac:dyDescent="0.3">
      <c r="A11" s="23" t="s">
        <v>232</v>
      </c>
      <c r="B11" s="16">
        <f>Sheet6!C38</f>
        <v>1500</v>
      </c>
      <c r="C11" s="16" t="s">
        <v>21</v>
      </c>
      <c r="D11" s="16"/>
      <c r="E11" s="16" t="s">
        <v>54</v>
      </c>
      <c r="F11" s="29">
        <f>IF(PRODUCT(Sheet5!N13:N15)=1,1000000*(B18*C28*C33)/C30,"N/A")</f>
        <v>0</v>
      </c>
      <c r="G11" s="16" t="s">
        <v>106</v>
      </c>
      <c r="H11" s="16"/>
      <c r="I11" s="16"/>
      <c r="J11" s="16"/>
    </row>
    <row r="12" spans="1:10" ht="15.75" x14ac:dyDescent="0.3">
      <c r="A12" s="23" t="s">
        <v>233</v>
      </c>
      <c r="B12" s="21">
        <f>Sheet6!C39</f>
        <v>895.72</v>
      </c>
      <c r="C12" s="16" t="s">
        <v>21</v>
      </c>
      <c r="D12" s="16"/>
      <c r="E12" s="16" t="s">
        <v>55</v>
      </c>
      <c r="F12" s="29">
        <f>IF(PRODUCT(Sheet5!N13:N15)=1,1000000*(B18*C29*C33)/C30,"N/A")</f>
        <v>0</v>
      </c>
      <c r="G12" s="16" t="s">
        <v>106</v>
      </c>
      <c r="H12" s="16"/>
      <c r="I12" s="16"/>
      <c r="J12" s="16"/>
    </row>
    <row r="13" spans="1:10" ht="15.75" x14ac:dyDescent="0.3">
      <c r="A13" s="23" t="s">
        <v>279</v>
      </c>
      <c r="B13" s="27">
        <f>C30/MIN(C28,C29)*Sheet6!C75+Sheet6!C76</f>
        <v>2054.9743449099997</v>
      </c>
      <c r="C13" s="16" t="s">
        <v>21</v>
      </c>
      <c r="D13" s="16"/>
      <c r="E13" s="16" t="s">
        <v>43</v>
      </c>
      <c r="F13" s="29">
        <f>1000000*B17*C33</f>
        <v>0</v>
      </c>
      <c r="G13" s="16" t="s">
        <v>106</v>
      </c>
      <c r="H13" s="16"/>
      <c r="I13" s="16"/>
      <c r="J13" s="16"/>
    </row>
    <row r="14" spans="1:10" ht="15.75" x14ac:dyDescent="0.3">
      <c r="A14" s="23" t="s">
        <v>280</v>
      </c>
      <c r="B14" s="21">
        <f>IF(Sheet6!C75*Sheet6!C76&lt;&gt;0,IF(B13&lt;B9,IF(B13&gt;B11,B13,B11),B9),B9)</f>
        <v>1952.94</v>
      </c>
      <c r="C14" s="16" t="s">
        <v>21</v>
      </c>
      <c r="D14" s="16"/>
      <c r="E14" s="16" t="s">
        <v>56</v>
      </c>
      <c r="F14" s="29">
        <f>IF(C29&gt;0,B20*C37/C29,"N/A")</f>
        <v>0</v>
      </c>
      <c r="G14" s="16" t="s">
        <v>107</v>
      </c>
      <c r="H14" s="16"/>
      <c r="I14" s="16"/>
      <c r="J14" s="16"/>
    </row>
    <row r="15" spans="1:10" x14ac:dyDescent="0.2">
      <c r="A15" s="23"/>
      <c r="B15" s="16"/>
      <c r="C15" s="16"/>
      <c r="D15" s="16"/>
      <c r="E15" s="16" t="s">
        <v>204</v>
      </c>
      <c r="F15" s="29">
        <f>IF(C28&gt;0,B20*C37/C28,"N/A")</f>
        <v>0</v>
      </c>
      <c r="G15" s="16" t="s">
        <v>107</v>
      </c>
      <c r="H15" s="16"/>
      <c r="I15" s="16"/>
      <c r="J15" s="16"/>
    </row>
    <row r="16" spans="1:10" x14ac:dyDescent="0.2">
      <c r="A16" s="23"/>
      <c r="B16" s="16"/>
      <c r="C16" s="16"/>
      <c r="D16" s="16"/>
      <c r="E16" s="16" t="s">
        <v>44</v>
      </c>
      <c r="F16" s="29">
        <f>IF(PRODUCT(Sheet5!N13:N15)=1,(B21*C38*C30)/(C28*C29),"N/A")</f>
        <v>0</v>
      </c>
      <c r="G16" s="16" t="s">
        <v>107</v>
      </c>
      <c r="H16" s="16"/>
      <c r="I16" s="16"/>
      <c r="J16" s="16"/>
    </row>
    <row r="17" spans="1:10" ht="15.75" x14ac:dyDescent="0.3">
      <c r="A17" s="23" t="s">
        <v>217</v>
      </c>
      <c r="B17" s="24">
        <f>Sheet6!C24</f>
        <v>4.2499999999999998E-10</v>
      </c>
      <c r="C17" s="16" t="s">
        <v>18</v>
      </c>
      <c r="D17" s="16"/>
      <c r="E17" s="16"/>
      <c r="F17" s="16"/>
      <c r="G17" s="16"/>
      <c r="H17" s="16"/>
      <c r="I17" s="16"/>
      <c r="J17" s="16"/>
    </row>
    <row r="18" spans="1:10" ht="15.75" x14ac:dyDescent="0.3">
      <c r="A18" s="23" t="s">
        <v>216</v>
      </c>
      <c r="B18" s="24">
        <f>Sheet6!C23</f>
        <v>-1.6999150000000001E-10</v>
      </c>
      <c r="C18" s="16" t="s">
        <v>18</v>
      </c>
      <c r="D18" s="16"/>
      <c r="E18" s="16"/>
      <c r="F18" s="16"/>
      <c r="G18" s="16"/>
      <c r="H18" s="16"/>
      <c r="I18" s="16"/>
      <c r="J18" s="16"/>
    </row>
    <row r="19" spans="1:10" ht="15.75" x14ac:dyDescent="0.3">
      <c r="A19" s="23" t="s">
        <v>218</v>
      </c>
      <c r="B19" s="24">
        <f>Sheet6!C24</f>
        <v>4.2499999999999998E-10</v>
      </c>
      <c r="C19" s="16" t="s">
        <v>18</v>
      </c>
      <c r="D19" s="16"/>
      <c r="E19" s="16"/>
      <c r="F19" s="16"/>
      <c r="G19" s="16"/>
      <c r="H19" s="16"/>
      <c r="I19" s="16"/>
      <c r="J19" s="16"/>
    </row>
    <row r="20" spans="1:10" ht="15.75" x14ac:dyDescent="0.3">
      <c r="A20" s="23" t="s">
        <v>219</v>
      </c>
      <c r="B20" s="29">
        <f>Sheet6!C26</f>
        <v>-1.06645E-2</v>
      </c>
      <c r="C20" s="16" t="s">
        <v>19</v>
      </c>
      <c r="D20" s="16"/>
      <c r="E20" s="16"/>
      <c r="F20" s="16"/>
      <c r="G20" s="16"/>
      <c r="H20" s="16"/>
      <c r="I20" s="16"/>
      <c r="J20" s="16"/>
    </row>
    <row r="21" spans="1:10" ht="15.75" x14ac:dyDescent="0.3">
      <c r="A21" s="23" t="s">
        <v>220</v>
      </c>
      <c r="B21" s="29">
        <f>Sheet6!C27</f>
        <v>2.6662499999999999E-2</v>
      </c>
      <c r="C21" s="16" t="s">
        <v>19</v>
      </c>
      <c r="D21" s="16"/>
      <c r="E21" s="16"/>
      <c r="F21" s="16"/>
      <c r="G21" s="16"/>
      <c r="H21" s="16"/>
      <c r="I21" s="16"/>
      <c r="J21" s="16"/>
    </row>
    <row r="22" spans="1:10" ht="15.75" x14ac:dyDescent="0.3">
      <c r="A22" s="23" t="s">
        <v>221</v>
      </c>
      <c r="B22" s="29">
        <f>Sheet6!C28</f>
        <v>3.181754232658663E-2</v>
      </c>
      <c r="C22" s="16" t="s">
        <v>19</v>
      </c>
      <c r="D22" s="16"/>
      <c r="E22" s="16"/>
      <c r="F22" s="16"/>
      <c r="G22" s="16"/>
      <c r="H22" s="16"/>
      <c r="I22" s="16"/>
      <c r="J22" s="16"/>
    </row>
    <row r="23" spans="1:10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4" spans="1:10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0" x14ac:dyDescent="0.2">
      <c r="A25" s="16" t="s">
        <v>37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spans="1:10" x14ac:dyDescent="0.2">
      <c r="A27" s="16" t="s">
        <v>40</v>
      </c>
      <c r="B27" s="16"/>
      <c r="C27" s="16"/>
      <c r="D27" s="16"/>
      <c r="E27" s="16"/>
      <c r="F27" s="16"/>
      <c r="G27" s="16"/>
      <c r="H27" s="16"/>
      <c r="I27" s="16"/>
      <c r="J27" s="16"/>
    </row>
    <row r="28" spans="1:10" x14ac:dyDescent="0.2">
      <c r="A28" s="16"/>
      <c r="B28" s="23" t="s">
        <v>177</v>
      </c>
      <c r="C28" s="25">
        <f>'Front page'!D12/1000</f>
        <v>0.05</v>
      </c>
      <c r="D28" s="16" t="s">
        <v>46</v>
      </c>
      <c r="E28" s="16"/>
      <c r="F28" s="16"/>
      <c r="G28" s="16"/>
      <c r="H28" s="16"/>
      <c r="I28" s="16"/>
      <c r="J28" s="16"/>
    </row>
    <row r="29" spans="1:10" x14ac:dyDescent="0.2">
      <c r="A29" s="16"/>
      <c r="B29" s="23" t="s">
        <v>178</v>
      </c>
      <c r="C29" s="25">
        <f>'Front page'!D13/1000</f>
        <v>0.04</v>
      </c>
      <c r="D29" s="16" t="s">
        <v>46</v>
      </c>
      <c r="E29" s="16"/>
      <c r="F29" s="16"/>
      <c r="G29" s="16"/>
      <c r="H29" s="16"/>
      <c r="I29" s="16"/>
      <c r="J29" s="16"/>
    </row>
    <row r="30" spans="1:10" x14ac:dyDescent="0.2">
      <c r="A30" s="16"/>
      <c r="B30" s="23" t="s">
        <v>179</v>
      </c>
      <c r="C30" s="25">
        <f>'Front page'!D14/1000</f>
        <v>1E-3</v>
      </c>
      <c r="D30" s="16" t="s">
        <v>46</v>
      </c>
      <c r="E30" s="16"/>
      <c r="F30" s="16"/>
      <c r="G30" s="16"/>
      <c r="H30" s="16"/>
      <c r="I30" s="16"/>
      <c r="J30" s="16"/>
    </row>
    <row r="31" spans="1:10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0" x14ac:dyDescent="0.2">
      <c r="A32" s="16" t="s">
        <v>41</v>
      </c>
      <c r="B32" s="16"/>
      <c r="C32" s="16"/>
      <c r="D32" s="16"/>
      <c r="E32" s="16"/>
      <c r="F32" s="16"/>
      <c r="G32" s="16"/>
      <c r="H32" s="16"/>
      <c r="I32" s="16"/>
      <c r="J32" s="16"/>
    </row>
    <row r="33" spans="1:10" x14ac:dyDescent="0.2">
      <c r="A33" s="16"/>
      <c r="B33" s="16" t="s">
        <v>38</v>
      </c>
      <c r="C33" s="16">
        <f>'Front page'!D26</f>
        <v>0</v>
      </c>
      <c r="D33" s="16" t="s">
        <v>107</v>
      </c>
      <c r="E33" s="16"/>
      <c r="F33" s="16"/>
      <c r="G33" s="16"/>
      <c r="H33" s="16"/>
      <c r="I33" s="16"/>
      <c r="J33" s="16"/>
    </row>
    <row r="34" spans="1:10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 x14ac:dyDescent="0.2">
      <c r="A36" s="16" t="s">
        <v>39</v>
      </c>
      <c r="B36" s="16"/>
      <c r="C36" s="16"/>
      <c r="D36" s="16"/>
      <c r="E36" s="16"/>
      <c r="F36" s="16"/>
      <c r="G36" s="16"/>
      <c r="H36" s="16"/>
      <c r="I36" s="16"/>
      <c r="J36" s="16"/>
    </row>
    <row r="37" spans="1:10" x14ac:dyDescent="0.2">
      <c r="A37" s="16"/>
      <c r="B37" s="16" t="s">
        <v>164</v>
      </c>
      <c r="C37" s="16">
        <f>'Front page'!D33</f>
        <v>0</v>
      </c>
      <c r="D37" s="16" t="s">
        <v>108</v>
      </c>
      <c r="E37" s="16"/>
      <c r="F37" s="16"/>
      <c r="G37" s="16"/>
      <c r="H37" s="16"/>
      <c r="I37" s="16"/>
      <c r="J37" s="16"/>
    </row>
    <row r="38" spans="1:10" x14ac:dyDescent="0.2">
      <c r="A38" s="16"/>
      <c r="B38" s="16" t="s">
        <v>165</v>
      </c>
      <c r="C38" s="16">
        <f>'Front page'!D34</f>
        <v>0</v>
      </c>
      <c r="D38" s="16" t="s">
        <v>108</v>
      </c>
      <c r="E38" s="16"/>
      <c r="F38" s="16"/>
      <c r="G38" s="16"/>
      <c r="H38" s="16"/>
      <c r="I38" s="16"/>
      <c r="J38" s="16"/>
    </row>
    <row r="39" spans="1:10" x14ac:dyDescent="0.2">
      <c r="A39" s="16"/>
      <c r="B39" s="16"/>
      <c r="C39" s="16"/>
      <c r="D39" s="16"/>
      <c r="E39" s="16"/>
      <c r="F39" s="16"/>
      <c r="G39" s="16"/>
      <c r="H39" s="16"/>
      <c r="I39" s="16"/>
      <c r="J39" s="16"/>
    </row>
    <row r="40" spans="1:10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0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</row>
  </sheetData>
  <sheetProtection algorithmName="SHA-512" hashValue="AE7aNgJWZ8WLH5l+NGRrSYEvY9mbgclbsSxS2nCxTZUv2p1t+P9AQ/tHKgaSmTk5Ow0JsMZJjUf3waD6TOipgw==" saltValue="9NjzJ0Fp4MciqDTdAc4XHw==" spinCount="100000" sheet="1" objects="1" scenarios="1" selectLockedCells="1" selectUnlockedCells="1"/>
  <phoneticPr fontId="0" type="noConversion"/>
  <pageMargins left="0.75" right="0.75" top="1" bottom="1" header="0.5" footer="0.5"/>
  <headerFooter alignWithMargins="0"/>
  <ignoredErrors>
    <ignoredError sqref="B18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8"/>
  <dimension ref="A1:J41"/>
  <sheetViews>
    <sheetView workbookViewId="0">
      <selection activeCell="B20" sqref="B20:C20"/>
    </sheetView>
  </sheetViews>
  <sheetFormatPr defaultRowHeight="12.75" x14ac:dyDescent="0.2"/>
  <cols>
    <col min="1" max="1" width="11.7109375" customWidth="1"/>
    <col min="2" max="2" width="20.7109375" customWidth="1"/>
    <col min="5" max="5" width="20.7109375" customWidth="1"/>
    <col min="6" max="6" width="9.7109375" customWidth="1"/>
  </cols>
  <sheetData>
    <row r="1" spans="1:10" x14ac:dyDescent="0.2">
      <c r="A1" s="16" t="s">
        <v>77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">
      <c r="A2" s="16" t="s">
        <v>50</v>
      </c>
      <c r="B2" s="16"/>
      <c r="C2" s="16">
        <v>5</v>
      </c>
      <c r="D2" s="16"/>
      <c r="E2" s="16"/>
      <c r="F2" s="16"/>
      <c r="G2" s="16"/>
      <c r="H2" s="16"/>
      <c r="I2" s="16"/>
      <c r="J2" s="16"/>
    </row>
    <row r="3" spans="1:10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">
      <c r="A4" s="16"/>
      <c r="B4" s="16"/>
      <c r="C4" s="16"/>
      <c r="D4" s="16"/>
      <c r="E4" s="16"/>
      <c r="F4" s="21"/>
      <c r="G4" s="16"/>
      <c r="H4" s="16"/>
      <c r="I4" s="16"/>
      <c r="J4" s="16"/>
    </row>
    <row r="5" spans="1:10" x14ac:dyDescent="0.2">
      <c r="A5" s="16" t="s">
        <v>34</v>
      </c>
      <c r="B5" s="16"/>
      <c r="C5" s="16"/>
      <c r="D5" s="16"/>
      <c r="E5" s="16" t="s">
        <v>35</v>
      </c>
      <c r="F5" s="21"/>
      <c r="G5" s="16"/>
      <c r="H5" s="16"/>
      <c r="I5" s="16"/>
      <c r="J5" s="16"/>
    </row>
    <row r="6" spans="1:10" ht="15.75" x14ac:dyDescent="0.3">
      <c r="A6" s="16" t="s">
        <v>205</v>
      </c>
      <c r="B6" s="21">
        <f>Sheet6!C12</f>
        <v>1795.99</v>
      </c>
      <c r="C6" s="16"/>
      <c r="D6" s="16"/>
      <c r="E6" s="16"/>
      <c r="F6" s="21"/>
      <c r="G6" s="16"/>
      <c r="H6" s="16"/>
      <c r="I6" s="16"/>
      <c r="J6" s="16"/>
    </row>
    <row r="7" spans="1:10" ht="15.75" x14ac:dyDescent="0.3">
      <c r="A7" s="16" t="s">
        <v>206</v>
      </c>
      <c r="B7" s="21">
        <f>Sheet6!C13</f>
        <v>1802.77</v>
      </c>
      <c r="C7" s="16"/>
      <c r="D7" s="16"/>
      <c r="E7" s="16" t="s">
        <v>98</v>
      </c>
      <c r="F7" s="21">
        <f>IF(PRODUCT(Sheet5!N13:N15)=1,1000000000000*(B6*Sheet6!C72*C28*C29)/C30,"N/A")</f>
        <v>31804.052921914004</v>
      </c>
      <c r="G7" s="16" t="s">
        <v>2</v>
      </c>
      <c r="H7" s="16"/>
      <c r="I7" s="16"/>
      <c r="J7" s="16"/>
    </row>
    <row r="8" spans="1:10" ht="15.75" x14ac:dyDescent="0.3">
      <c r="A8" s="23" t="s">
        <v>229</v>
      </c>
      <c r="B8" s="16">
        <f>Sheet6!C35</f>
        <v>2011.08</v>
      </c>
      <c r="C8" s="16" t="s">
        <v>21</v>
      </c>
      <c r="D8" s="16"/>
      <c r="E8" s="16" t="s">
        <v>36</v>
      </c>
      <c r="F8" s="26"/>
      <c r="G8" s="16"/>
      <c r="H8" s="16"/>
      <c r="I8" s="16"/>
      <c r="J8" s="16"/>
    </row>
    <row r="9" spans="1:10" ht="15.75" x14ac:dyDescent="0.3">
      <c r="A9" s="23" t="s">
        <v>230</v>
      </c>
      <c r="B9" s="16">
        <f>Sheet6!C36</f>
        <v>1952.94</v>
      </c>
      <c r="C9" s="16" t="s">
        <v>21</v>
      </c>
      <c r="D9" s="16"/>
      <c r="E9" s="16" t="s">
        <v>5</v>
      </c>
      <c r="F9" s="21">
        <f>IF(C30&gt;0,0.001*B12/C30,"N/A")</f>
        <v>895.72</v>
      </c>
      <c r="G9" s="16" t="s">
        <v>3</v>
      </c>
      <c r="H9" s="16"/>
      <c r="I9" s="16"/>
      <c r="J9" s="16"/>
    </row>
    <row r="10" spans="1:10" ht="15.75" x14ac:dyDescent="0.3">
      <c r="A10" s="23" t="s">
        <v>231</v>
      </c>
      <c r="B10" s="16">
        <f>Sheet6!C37</f>
        <v>1400</v>
      </c>
      <c r="C10" s="16" t="s">
        <v>21</v>
      </c>
      <c r="D10" s="16"/>
      <c r="E10" s="16"/>
      <c r="F10" s="16"/>
      <c r="G10" s="16"/>
      <c r="H10" s="16"/>
      <c r="I10" s="16"/>
      <c r="J10" s="16"/>
    </row>
    <row r="11" spans="1:10" ht="15.75" x14ac:dyDescent="0.3">
      <c r="A11" s="23" t="s">
        <v>232</v>
      </c>
      <c r="B11" s="16">
        <f>Sheet6!C38</f>
        <v>1500</v>
      </c>
      <c r="C11" s="16" t="s">
        <v>21</v>
      </c>
      <c r="D11" s="16"/>
      <c r="E11" s="16" t="s">
        <v>57</v>
      </c>
      <c r="F11" s="29">
        <f>1000000*B19*C33</f>
        <v>0</v>
      </c>
      <c r="G11" s="16" t="s">
        <v>106</v>
      </c>
      <c r="H11" s="16"/>
      <c r="I11" s="16"/>
      <c r="J11" s="16"/>
    </row>
    <row r="12" spans="1:10" ht="15.75" x14ac:dyDescent="0.3">
      <c r="A12" s="23" t="s">
        <v>233</v>
      </c>
      <c r="B12" s="21">
        <f>Sheet6!C39</f>
        <v>895.72</v>
      </c>
      <c r="C12" s="16" t="s">
        <v>21</v>
      </c>
      <c r="D12" s="16"/>
      <c r="E12" s="16" t="s">
        <v>43</v>
      </c>
      <c r="F12" s="16"/>
      <c r="G12" s="16" t="s">
        <v>106</v>
      </c>
      <c r="H12" s="16"/>
      <c r="I12" s="16"/>
      <c r="J12" s="16"/>
    </row>
    <row r="13" spans="1:10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 x14ac:dyDescent="0.2">
      <c r="A14" s="23"/>
      <c r="B14" s="21"/>
      <c r="C14" s="16"/>
      <c r="D14" s="16"/>
      <c r="E14" s="16" t="s">
        <v>45</v>
      </c>
      <c r="F14" s="16"/>
      <c r="G14" s="16" t="s">
        <v>107</v>
      </c>
      <c r="H14" s="16"/>
      <c r="I14" s="16"/>
      <c r="J14" s="16"/>
    </row>
    <row r="15" spans="1:10" x14ac:dyDescent="0.2">
      <c r="A15" s="23"/>
      <c r="B15" s="16"/>
      <c r="C15" s="16"/>
      <c r="D15" s="16"/>
      <c r="E15" s="16" t="s">
        <v>44</v>
      </c>
      <c r="F15" s="16"/>
      <c r="G15" s="16" t="s">
        <v>107</v>
      </c>
      <c r="H15" s="16"/>
      <c r="I15" s="16"/>
      <c r="J15" s="16"/>
    </row>
    <row r="16" spans="1:10" x14ac:dyDescent="0.2">
      <c r="A16" s="23"/>
      <c r="B16" s="16"/>
      <c r="C16" s="16"/>
      <c r="D16" s="16"/>
      <c r="E16" s="16" t="s">
        <v>58</v>
      </c>
      <c r="F16" s="16">
        <f>IF(C29&gt;0,(B22*C39)/C29,"N/A")</f>
        <v>0</v>
      </c>
      <c r="G16" s="16" t="s">
        <v>107</v>
      </c>
      <c r="H16" s="16"/>
      <c r="I16" s="16"/>
      <c r="J16" s="16"/>
    </row>
    <row r="17" spans="1:10" ht="15.75" x14ac:dyDescent="0.3">
      <c r="A17" s="23" t="s">
        <v>217</v>
      </c>
      <c r="B17" s="24">
        <f>Sheet6!C24</f>
        <v>4.2499999999999998E-10</v>
      </c>
      <c r="C17" s="16" t="s">
        <v>18</v>
      </c>
      <c r="D17" s="16"/>
      <c r="E17" s="16"/>
      <c r="F17" s="16"/>
      <c r="G17" s="16"/>
      <c r="H17" s="16"/>
      <c r="I17" s="16"/>
      <c r="J17" s="16"/>
    </row>
    <row r="18" spans="1:10" ht="15.75" x14ac:dyDescent="0.3">
      <c r="A18" s="23" t="s">
        <v>216</v>
      </c>
      <c r="B18" s="24">
        <f>Sheet6!C23</f>
        <v>-1.6999150000000001E-10</v>
      </c>
      <c r="C18" s="16" t="s">
        <v>18</v>
      </c>
      <c r="D18" s="16"/>
      <c r="E18" s="16"/>
      <c r="F18" s="16"/>
      <c r="G18" s="16"/>
      <c r="H18" s="16"/>
      <c r="I18" s="16"/>
      <c r="J18" s="16"/>
    </row>
    <row r="19" spans="1:10" ht="15.75" x14ac:dyDescent="0.3">
      <c r="A19" s="23" t="s">
        <v>218</v>
      </c>
      <c r="B19" s="24">
        <f>Sheet6!C24</f>
        <v>4.2499999999999998E-10</v>
      </c>
      <c r="C19" s="16" t="s">
        <v>18</v>
      </c>
      <c r="D19" s="16"/>
      <c r="E19" s="16"/>
      <c r="F19" s="16"/>
      <c r="G19" s="16"/>
      <c r="H19" s="16"/>
      <c r="I19" s="16"/>
      <c r="J19" s="16"/>
    </row>
    <row r="20" spans="1:10" ht="15.75" x14ac:dyDescent="0.3">
      <c r="A20" s="23" t="s">
        <v>219</v>
      </c>
      <c r="B20" s="29">
        <f>Sheet6!C26</f>
        <v>-1.06645E-2</v>
      </c>
      <c r="C20" s="16" t="s">
        <v>19</v>
      </c>
      <c r="D20" s="16"/>
      <c r="E20" s="16"/>
      <c r="F20" s="16"/>
      <c r="G20" s="16"/>
      <c r="H20" s="16"/>
      <c r="I20" s="16"/>
      <c r="J20" s="16"/>
    </row>
    <row r="21" spans="1:10" ht="15.75" x14ac:dyDescent="0.3">
      <c r="A21" s="23" t="s">
        <v>220</v>
      </c>
      <c r="B21" s="29">
        <f>Sheet6!C27</f>
        <v>2.6662499999999999E-2</v>
      </c>
      <c r="C21" s="16" t="s">
        <v>19</v>
      </c>
      <c r="D21" s="16"/>
      <c r="E21" s="16"/>
      <c r="F21" s="16"/>
      <c r="G21" s="16"/>
      <c r="H21" s="16"/>
      <c r="I21" s="16"/>
      <c r="J21" s="16"/>
    </row>
    <row r="22" spans="1:10" ht="15.75" x14ac:dyDescent="0.3">
      <c r="A22" s="23" t="s">
        <v>221</v>
      </c>
      <c r="B22" s="29">
        <f>Sheet6!C28</f>
        <v>3.181754232658663E-2</v>
      </c>
      <c r="C22" s="16" t="s">
        <v>19</v>
      </c>
      <c r="D22" s="16"/>
      <c r="E22" s="16"/>
      <c r="F22" s="16"/>
      <c r="G22" s="16"/>
      <c r="H22" s="16"/>
      <c r="I22" s="16"/>
      <c r="J22" s="16"/>
    </row>
    <row r="23" spans="1:10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4" spans="1:10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0" x14ac:dyDescent="0.2">
      <c r="A25" s="16" t="s">
        <v>37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spans="1:10" x14ac:dyDescent="0.2">
      <c r="A27" s="16" t="s">
        <v>40</v>
      </c>
      <c r="B27" s="16"/>
      <c r="C27" s="16"/>
      <c r="D27" s="16"/>
      <c r="E27" s="16"/>
      <c r="F27" s="16"/>
      <c r="G27" s="16"/>
      <c r="H27" s="16"/>
      <c r="I27" s="16"/>
      <c r="J27" s="16"/>
    </row>
    <row r="28" spans="1:10" x14ac:dyDescent="0.2">
      <c r="A28" s="16"/>
      <c r="B28" s="16" t="s">
        <v>51</v>
      </c>
      <c r="C28" s="25">
        <f>'Front page'!D12/1000</f>
        <v>0.05</v>
      </c>
      <c r="D28" s="16" t="s">
        <v>46</v>
      </c>
      <c r="E28" s="16"/>
      <c r="F28" s="16"/>
      <c r="G28" s="16"/>
      <c r="H28" s="16"/>
      <c r="I28" s="16"/>
      <c r="J28" s="16"/>
    </row>
    <row r="29" spans="1:10" x14ac:dyDescent="0.2">
      <c r="A29" s="16"/>
      <c r="B29" s="16" t="s">
        <v>52</v>
      </c>
      <c r="C29" s="25">
        <f>'Front page'!D13/1000</f>
        <v>0.04</v>
      </c>
      <c r="D29" s="16" t="s">
        <v>46</v>
      </c>
      <c r="E29" s="16"/>
      <c r="F29" s="16"/>
      <c r="G29" s="16"/>
      <c r="H29" s="16"/>
      <c r="I29" s="16"/>
      <c r="J29" s="16"/>
    </row>
    <row r="30" spans="1:10" x14ac:dyDescent="0.2">
      <c r="A30" s="16"/>
      <c r="B30" s="16" t="s">
        <v>53</v>
      </c>
      <c r="C30" s="25">
        <f>'Front page'!D14/1000</f>
        <v>1E-3</v>
      </c>
      <c r="D30" s="16" t="s">
        <v>46</v>
      </c>
      <c r="E30" s="16"/>
      <c r="F30" s="16"/>
      <c r="G30" s="16"/>
      <c r="H30" s="16"/>
      <c r="I30" s="16"/>
      <c r="J30" s="16"/>
    </row>
    <row r="31" spans="1:10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0" x14ac:dyDescent="0.2">
      <c r="A32" s="16" t="s">
        <v>41</v>
      </c>
      <c r="B32" s="16"/>
      <c r="C32" s="16"/>
      <c r="D32" s="16"/>
      <c r="E32" s="16"/>
      <c r="F32" s="16"/>
      <c r="G32" s="16"/>
      <c r="H32" s="16"/>
      <c r="I32" s="16"/>
      <c r="J32" s="16"/>
    </row>
    <row r="33" spans="1:10" x14ac:dyDescent="0.2">
      <c r="A33" s="16"/>
      <c r="B33" s="16" t="s">
        <v>38</v>
      </c>
      <c r="C33" s="16">
        <f>'Front page'!D26</f>
        <v>0</v>
      </c>
      <c r="D33" s="16" t="s">
        <v>107</v>
      </c>
      <c r="E33" s="16"/>
      <c r="F33" s="16"/>
      <c r="G33" s="16"/>
      <c r="H33" s="16"/>
      <c r="I33" s="16"/>
      <c r="J33" s="16"/>
    </row>
    <row r="34" spans="1:10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 x14ac:dyDescent="0.2">
      <c r="A36" s="16" t="s">
        <v>39</v>
      </c>
      <c r="B36" s="16"/>
      <c r="C36" s="16"/>
      <c r="D36" s="16"/>
      <c r="E36" s="16"/>
      <c r="F36" s="16"/>
      <c r="G36" s="16"/>
      <c r="H36" s="16"/>
      <c r="I36" s="16"/>
      <c r="J36" s="16"/>
    </row>
    <row r="37" spans="1:10" x14ac:dyDescent="0.2">
      <c r="A37" s="16"/>
      <c r="B37" s="16" t="s">
        <v>164</v>
      </c>
      <c r="C37" s="16">
        <f>'Front page'!D33</f>
        <v>0</v>
      </c>
      <c r="D37" s="16" t="s">
        <v>108</v>
      </c>
      <c r="E37" s="16"/>
      <c r="F37" s="16"/>
      <c r="G37" s="16"/>
      <c r="H37" s="16"/>
      <c r="I37" s="16"/>
      <c r="J37" s="16"/>
    </row>
    <row r="38" spans="1:10" x14ac:dyDescent="0.2">
      <c r="A38" s="16"/>
      <c r="B38" s="16" t="s">
        <v>165</v>
      </c>
      <c r="C38" s="16">
        <f>'Front page'!D34</f>
        <v>0</v>
      </c>
      <c r="D38" s="16" t="s">
        <v>108</v>
      </c>
      <c r="E38" s="16"/>
      <c r="F38" s="16"/>
      <c r="G38" s="16"/>
      <c r="H38" s="16"/>
      <c r="I38" s="16"/>
      <c r="J38" s="16"/>
    </row>
    <row r="39" spans="1:10" x14ac:dyDescent="0.2">
      <c r="A39" s="16"/>
      <c r="B39" s="16" t="s">
        <v>166</v>
      </c>
      <c r="C39" s="16">
        <f>'Front page'!D35</f>
        <v>0</v>
      </c>
      <c r="D39" s="16" t="s">
        <v>108</v>
      </c>
      <c r="E39" s="16"/>
      <c r="F39" s="16"/>
      <c r="G39" s="16"/>
      <c r="H39" s="16"/>
      <c r="I39" s="16"/>
      <c r="J39" s="16"/>
    </row>
    <row r="40" spans="1:10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0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</row>
  </sheetData>
  <sheetProtection algorithmName="SHA-512" hashValue="HBhwwYKlzBbYuqNaN3JynxZtDJkLFsbTapZ4Y0uVnyTTVMNpj4Qb2TIosGqUskXpKnLaj08ztztRyaCZsUDJAA==" saltValue="AhewpzrZM71hX1xayNVKCQ==" spinCount="100000" sheet="1" objects="1" scenarios="1" selectLockedCells="1" selectUnlockedCells="1"/>
  <phoneticPr fontId="0" type="noConversion"/>
  <pageMargins left="0.75" right="0.75" top="1" bottom="1" header="0.5" footer="0.5"/>
  <headerFooter alignWithMargins="0"/>
  <ignoredErrors>
    <ignoredError sqref="B18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9"/>
  <dimension ref="A1:J41"/>
  <sheetViews>
    <sheetView workbookViewId="0">
      <selection activeCell="B20" sqref="B20:C20"/>
    </sheetView>
  </sheetViews>
  <sheetFormatPr defaultRowHeight="12.75" x14ac:dyDescent="0.2"/>
  <cols>
    <col min="1" max="1" width="11.7109375" customWidth="1"/>
    <col min="2" max="2" width="20.7109375" customWidth="1"/>
    <col min="5" max="5" width="20.7109375" customWidth="1"/>
    <col min="6" max="6" width="9.7109375" customWidth="1"/>
  </cols>
  <sheetData>
    <row r="1" spans="1:10" x14ac:dyDescent="0.2">
      <c r="A1" s="16" t="s">
        <v>78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x14ac:dyDescent="0.2">
      <c r="A2" s="16" t="s">
        <v>50</v>
      </c>
      <c r="B2" s="16"/>
      <c r="C2" s="16">
        <v>6</v>
      </c>
      <c r="D2" s="16"/>
      <c r="E2" s="16"/>
      <c r="F2" s="16"/>
      <c r="G2" s="16"/>
      <c r="H2" s="16"/>
      <c r="I2" s="16"/>
      <c r="J2" s="16"/>
    </row>
    <row r="3" spans="1:10" x14ac:dyDescent="0.2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x14ac:dyDescent="0.2">
      <c r="A4" s="16"/>
      <c r="B4" s="16"/>
      <c r="C4" s="16"/>
      <c r="D4" s="16"/>
      <c r="E4" s="16"/>
      <c r="F4" s="21"/>
      <c r="G4" s="16"/>
      <c r="H4" s="16"/>
      <c r="I4" s="16"/>
      <c r="J4" s="16"/>
    </row>
    <row r="5" spans="1:10" x14ac:dyDescent="0.2">
      <c r="A5" s="16" t="s">
        <v>34</v>
      </c>
      <c r="B5" s="16"/>
      <c r="C5" s="16"/>
      <c r="D5" s="16"/>
      <c r="E5" s="16" t="s">
        <v>35</v>
      </c>
      <c r="F5" s="27"/>
      <c r="G5" s="16"/>
      <c r="H5" s="16"/>
      <c r="I5" s="16"/>
      <c r="J5" s="16"/>
    </row>
    <row r="6" spans="1:10" ht="15.75" x14ac:dyDescent="0.3">
      <c r="A6" s="16" t="s">
        <v>205</v>
      </c>
      <c r="B6" s="21">
        <f>Sheet6!C12</f>
        <v>1795.99</v>
      </c>
      <c r="C6" s="16"/>
      <c r="D6" s="16"/>
      <c r="E6" s="16"/>
      <c r="F6" s="27"/>
      <c r="G6" s="16"/>
      <c r="H6" s="16"/>
      <c r="I6" s="16"/>
      <c r="J6" s="16"/>
    </row>
    <row r="7" spans="1:10" ht="15.75" x14ac:dyDescent="0.3">
      <c r="A7" s="16" t="s">
        <v>206</v>
      </c>
      <c r="B7" s="21">
        <f>Sheet6!C13</f>
        <v>1802.77</v>
      </c>
      <c r="C7" s="16"/>
      <c r="D7" s="16"/>
      <c r="E7" s="16" t="s">
        <v>98</v>
      </c>
      <c r="F7" s="27">
        <f>IF(PRODUCT(Sheet5!N13:N15)=1,1000000000000*(2*B6*Sheet6!C72*PI()*C30)/(LN((C28/C29))),"N/A")</f>
        <v>447.7627895828125</v>
      </c>
      <c r="G7" s="16" t="s">
        <v>2</v>
      </c>
      <c r="H7" s="16"/>
      <c r="I7" s="16"/>
      <c r="J7" s="16"/>
    </row>
    <row r="8" spans="1:10" ht="15.75" x14ac:dyDescent="0.3">
      <c r="A8" s="23" t="s">
        <v>229</v>
      </c>
      <c r="B8" s="16">
        <f>Sheet6!C35</f>
        <v>2011.08</v>
      </c>
      <c r="C8" s="16" t="s">
        <v>21</v>
      </c>
      <c r="D8" s="16"/>
      <c r="E8" s="16" t="s">
        <v>96</v>
      </c>
      <c r="F8" s="21">
        <f>IF(PRODUCT(Sheet5!N13:N15)=1,0.001*2*B12/(C28-C29),"N/A")</f>
        <v>179.14399999999998</v>
      </c>
      <c r="G8" s="16" t="s">
        <v>3</v>
      </c>
      <c r="H8" s="16"/>
      <c r="I8" s="16"/>
      <c r="J8" s="16"/>
    </row>
    <row r="9" spans="1:10" ht="15.75" x14ac:dyDescent="0.3">
      <c r="A9" s="23" t="s">
        <v>230</v>
      </c>
      <c r="B9" s="16">
        <f>Sheet6!C36</f>
        <v>1952.94</v>
      </c>
      <c r="C9" s="16" t="s">
        <v>21</v>
      </c>
      <c r="D9" s="16"/>
      <c r="E9" s="16" t="s">
        <v>5</v>
      </c>
      <c r="F9" s="16"/>
      <c r="G9" s="16"/>
      <c r="H9" s="16"/>
      <c r="I9" s="16"/>
      <c r="J9" s="16"/>
    </row>
    <row r="10" spans="1:10" ht="15.75" x14ac:dyDescent="0.3">
      <c r="A10" s="23" t="s">
        <v>231</v>
      </c>
      <c r="B10" s="16">
        <f>Sheet6!C37</f>
        <v>1400</v>
      </c>
      <c r="C10" s="16" t="s">
        <v>21</v>
      </c>
      <c r="D10" s="16"/>
      <c r="E10" s="16"/>
      <c r="F10" s="16"/>
      <c r="G10" s="16"/>
      <c r="H10" s="16"/>
      <c r="I10" s="16"/>
      <c r="J10" s="16"/>
    </row>
    <row r="11" spans="1:10" ht="15.75" x14ac:dyDescent="0.3">
      <c r="A11" s="23" t="s">
        <v>232</v>
      </c>
      <c r="B11" s="16">
        <f>Sheet6!C38</f>
        <v>1500</v>
      </c>
      <c r="C11" s="16" t="s">
        <v>21</v>
      </c>
      <c r="D11" s="16"/>
      <c r="E11" s="16" t="s">
        <v>42</v>
      </c>
      <c r="F11" s="16"/>
      <c r="G11" s="16" t="s">
        <v>106</v>
      </c>
      <c r="H11" s="16"/>
      <c r="I11" s="16"/>
      <c r="J11" s="16"/>
    </row>
    <row r="12" spans="1:10" ht="15.75" x14ac:dyDescent="0.3">
      <c r="A12" s="23" t="s">
        <v>233</v>
      </c>
      <c r="B12" s="21">
        <f>Sheet6!C39</f>
        <v>895.72</v>
      </c>
      <c r="C12" s="16" t="s">
        <v>21</v>
      </c>
      <c r="D12" s="16"/>
      <c r="E12" s="16" t="s">
        <v>60</v>
      </c>
      <c r="F12" s="26">
        <f>1000000*B19*C33</f>
        <v>0</v>
      </c>
      <c r="G12" s="16" t="s">
        <v>106</v>
      </c>
      <c r="H12" s="16"/>
      <c r="I12" s="16"/>
      <c r="J12" s="16"/>
    </row>
    <row r="13" spans="1:10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</row>
    <row r="14" spans="1:10" x14ac:dyDescent="0.2">
      <c r="A14" s="23"/>
      <c r="B14" s="21"/>
      <c r="C14" s="16"/>
      <c r="D14" s="16"/>
      <c r="E14" s="16" t="s">
        <v>45</v>
      </c>
      <c r="F14" s="16"/>
      <c r="G14" s="16" t="s">
        <v>107</v>
      </c>
      <c r="H14" s="16"/>
      <c r="I14" s="16"/>
      <c r="J14" s="16"/>
    </row>
    <row r="15" spans="1:10" x14ac:dyDescent="0.2">
      <c r="A15" s="23" t="s">
        <v>61</v>
      </c>
      <c r="B15" s="21">
        <f>Sheet6!C41</f>
        <v>884.01698190000002</v>
      </c>
      <c r="C15" s="16" t="s">
        <v>21</v>
      </c>
      <c r="D15" s="16"/>
      <c r="E15" s="16" t="s">
        <v>44</v>
      </c>
      <c r="F15" s="16"/>
      <c r="G15" s="16" t="s">
        <v>107</v>
      </c>
      <c r="H15" s="16"/>
      <c r="I15" s="16"/>
      <c r="J15" s="16"/>
    </row>
    <row r="16" spans="1:10" x14ac:dyDescent="0.2">
      <c r="A16" s="23"/>
      <c r="B16" s="16"/>
      <c r="C16" s="16"/>
      <c r="D16" s="16"/>
      <c r="E16" s="16" t="s">
        <v>74</v>
      </c>
      <c r="F16" s="16">
        <f>IF(PRODUCT(Sheet5!N13:N15)=1,(2*B22*C39)/(PI()*(C28+C29)),"N/A")</f>
        <v>0</v>
      </c>
      <c r="G16" s="16" t="s">
        <v>107</v>
      </c>
      <c r="H16" s="16"/>
      <c r="I16" s="16"/>
      <c r="J16" s="16"/>
    </row>
    <row r="17" spans="1:10" ht="15.75" x14ac:dyDescent="0.3">
      <c r="A17" s="23" t="s">
        <v>217</v>
      </c>
      <c r="B17" s="24">
        <f>Sheet6!C24</f>
        <v>4.2499999999999998E-10</v>
      </c>
      <c r="C17" s="16" t="s">
        <v>18</v>
      </c>
      <c r="D17" s="16"/>
      <c r="E17" s="16"/>
      <c r="F17" s="16"/>
      <c r="G17" s="16"/>
      <c r="H17" s="16"/>
      <c r="I17" s="16"/>
      <c r="J17" s="16"/>
    </row>
    <row r="18" spans="1:10" ht="15.75" x14ac:dyDescent="0.3">
      <c r="A18" s="23" t="s">
        <v>216</v>
      </c>
      <c r="B18" s="24">
        <f>Sheet6!C23</f>
        <v>-1.6999150000000001E-10</v>
      </c>
      <c r="C18" s="16" t="s">
        <v>18</v>
      </c>
      <c r="D18" s="16"/>
      <c r="E18" s="16"/>
      <c r="F18" s="16"/>
      <c r="G18" s="16"/>
      <c r="H18" s="16"/>
      <c r="I18" s="16"/>
      <c r="J18" s="16"/>
    </row>
    <row r="19" spans="1:10" ht="15.75" x14ac:dyDescent="0.3">
      <c r="A19" s="23" t="s">
        <v>218</v>
      </c>
      <c r="B19" s="24">
        <f>Sheet6!C24</f>
        <v>4.2499999999999998E-10</v>
      </c>
      <c r="C19" s="16" t="s">
        <v>18</v>
      </c>
      <c r="D19" s="16"/>
      <c r="E19" s="16"/>
      <c r="F19" s="16"/>
      <c r="G19" s="16"/>
      <c r="H19" s="16"/>
      <c r="I19" s="16"/>
      <c r="J19" s="16"/>
    </row>
    <row r="20" spans="1:10" ht="15.75" x14ac:dyDescent="0.3">
      <c r="A20" s="23" t="s">
        <v>219</v>
      </c>
      <c r="B20" s="29">
        <f>Sheet6!C26</f>
        <v>-1.06645E-2</v>
      </c>
      <c r="C20" s="16" t="s">
        <v>19</v>
      </c>
      <c r="D20" s="16"/>
      <c r="E20" s="16"/>
      <c r="F20" s="16"/>
      <c r="G20" s="16"/>
      <c r="H20" s="16"/>
      <c r="I20" s="16"/>
      <c r="J20" s="16"/>
    </row>
    <row r="21" spans="1:10" ht="15.75" x14ac:dyDescent="0.3">
      <c r="A21" s="23" t="s">
        <v>220</v>
      </c>
      <c r="B21" s="29">
        <f>Sheet6!C27</f>
        <v>2.6662499999999999E-2</v>
      </c>
      <c r="C21" s="16" t="s">
        <v>19</v>
      </c>
      <c r="D21" s="16"/>
      <c r="E21" s="16"/>
      <c r="F21" s="16"/>
      <c r="G21" s="16"/>
      <c r="H21" s="16"/>
      <c r="I21" s="16"/>
      <c r="J21" s="16"/>
    </row>
    <row r="22" spans="1:10" ht="15.75" x14ac:dyDescent="0.3">
      <c r="A22" s="23" t="s">
        <v>221</v>
      </c>
      <c r="B22" s="29">
        <f>Sheet6!C28</f>
        <v>3.181754232658663E-2</v>
      </c>
      <c r="C22" s="16" t="s">
        <v>19</v>
      </c>
      <c r="D22" s="16"/>
      <c r="E22" s="16"/>
      <c r="F22" s="16"/>
      <c r="G22" s="16"/>
      <c r="H22" s="16"/>
      <c r="I22" s="16"/>
      <c r="J22" s="16"/>
    </row>
    <row r="23" spans="1:10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</row>
    <row r="24" spans="1:10" x14ac:dyDescent="0.2">
      <c r="A24" s="16"/>
      <c r="B24" s="16"/>
      <c r="C24" s="16"/>
      <c r="D24" s="16"/>
      <c r="E24" s="16"/>
      <c r="F24" s="16"/>
      <c r="G24" s="16"/>
      <c r="H24" s="16"/>
      <c r="I24" s="16"/>
      <c r="J24" s="16"/>
    </row>
    <row r="25" spans="1:10" x14ac:dyDescent="0.2">
      <c r="A25" s="16" t="s">
        <v>37</v>
      </c>
      <c r="B25" s="16"/>
      <c r="C25" s="16"/>
      <c r="D25" s="16"/>
      <c r="E25" s="16"/>
      <c r="F25" s="16"/>
      <c r="G25" s="16"/>
      <c r="H25" s="16"/>
      <c r="I25" s="16"/>
      <c r="J25" s="16"/>
    </row>
    <row r="26" spans="1:10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</row>
    <row r="27" spans="1:10" x14ac:dyDescent="0.2">
      <c r="A27" s="16" t="s">
        <v>40</v>
      </c>
      <c r="B27" s="16"/>
      <c r="C27" s="16"/>
      <c r="D27" s="16"/>
      <c r="E27" s="16"/>
      <c r="F27" s="16"/>
      <c r="G27" s="16"/>
      <c r="H27" s="16"/>
      <c r="I27" s="16"/>
      <c r="J27" s="16"/>
    </row>
    <row r="28" spans="1:10" x14ac:dyDescent="0.2">
      <c r="A28" s="16"/>
      <c r="B28" s="16" t="s">
        <v>51</v>
      </c>
      <c r="C28" s="25">
        <f>'Front page'!D12/1000</f>
        <v>0.05</v>
      </c>
      <c r="D28" s="16" t="s">
        <v>46</v>
      </c>
      <c r="E28" s="16"/>
      <c r="F28" s="16"/>
      <c r="G28" s="16"/>
      <c r="H28" s="16"/>
      <c r="I28" s="16"/>
      <c r="J28" s="16"/>
    </row>
    <row r="29" spans="1:10" x14ac:dyDescent="0.2">
      <c r="A29" s="16"/>
      <c r="B29" s="16" t="s">
        <v>52</v>
      </c>
      <c r="C29" s="25">
        <f>'Front page'!D13/1000</f>
        <v>0.04</v>
      </c>
      <c r="D29" s="16" t="s">
        <v>46</v>
      </c>
      <c r="E29" s="16"/>
      <c r="F29" s="16"/>
      <c r="G29" s="16"/>
      <c r="H29" s="16"/>
      <c r="I29" s="16"/>
      <c r="J29" s="16"/>
    </row>
    <row r="30" spans="1:10" x14ac:dyDescent="0.2">
      <c r="A30" s="16"/>
      <c r="B30" s="16" t="s">
        <v>53</v>
      </c>
      <c r="C30" s="25">
        <f>'Front page'!D14/1000</f>
        <v>1E-3</v>
      </c>
      <c r="D30" s="16" t="s">
        <v>46</v>
      </c>
      <c r="E30" s="16"/>
      <c r="F30" s="16"/>
      <c r="G30" s="16"/>
      <c r="H30" s="16"/>
      <c r="I30" s="16"/>
      <c r="J30" s="16"/>
    </row>
    <row r="31" spans="1:10" x14ac:dyDescent="0.2">
      <c r="A31" s="16"/>
      <c r="B31" s="16"/>
      <c r="C31" s="16"/>
      <c r="D31" s="16"/>
      <c r="E31" s="16"/>
      <c r="F31" s="16"/>
      <c r="G31" s="16"/>
      <c r="H31" s="16"/>
      <c r="I31" s="16"/>
      <c r="J31" s="16"/>
    </row>
    <row r="32" spans="1:10" x14ac:dyDescent="0.2">
      <c r="A32" s="16" t="s">
        <v>41</v>
      </c>
      <c r="B32" s="16"/>
      <c r="C32" s="16"/>
      <c r="D32" s="16"/>
      <c r="E32" s="16"/>
      <c r="F32" s="16"/>
      <c r="G32" s="16"/>
      <c r="H32" s="16"/>
      <c r="I32" s="16"/>
      <c r="J32" s="16"/>
    </row>
    <row r="33" spans="1:10" x14ac:dyDescent="0.2">
      <c r="A33" s="16"/>
      <c r="B33" s="16" t="s">
        <v>38</v>
      </c>
      <c r="C33" s="16">
        <f>'Front page'!D26</f>
        <v>0</v>
      </c>
      <c r="D33" s="16" t="s">
        <v>107</v>
      </c>
      <c r="E33" s="16"/>
      <c r="F33" s="16"/>
      <c r="G33" s="16"/>
      <c r="H33" s="16"/>
      <c r="I33" s="16"/>
      <c r="J33" s="16"/>
    </row>
    <row r="34" spans="1:10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x14ac:dyDescent="0.2">
      <c r="A35" s="16"/>
      <c r="B35" s="16"/>
      <c r="C35" s="16"/>
      <c r="D35" s="16"/>
      <c r="E35" s="16"/>
      <c r="F35" s="16"/>
      <c r="G35" s="16"/>
      <c r="H35" s="16"/>
      <c r="I35" s="16"/>
      <c r="J35" s="16"/>
    </row>
    <row r="36" spans="1:10" x14ac:dyDescent="0.2">
      <c r="A36" s="16" t="s">
        <v>39</v>
      </c>
      <c r="B36" s="16"/>
      <c r="C36" s="16"/>
      <c r="D36" s="16"/>
      <c r="E36" s="16"/>
      <c r="F36" s="16"/>
      <c r="G36" s="16"/>
      <c r="H36" s="16"/>
      <c r="I36" s="16"/>
      <c r="J36" s="16"/>
    </row>
    <row r="37" spans="1:10" x14ac:dyDescent="0.2">
      <c r="A37" s="16"/>
      <c r="B37" s="16" t="s">
        <v>47</v>
      </c>
      <c r="C37" s="16">
        <f>'Front page'!D33</f>
        <v>0</v>
      </c>
      <c r="D37" s="16" t="s">
        <v>108</v>
      </c>
      <c r="E37" s="16"/>
      <c r="F37" s="16"/>
      <c r="G37" s="16"/>
      <c r="H37" s="16"/>
      <c r="I37" s="16"/>
      <c r="J37" s="16"/>
    </row>
    <row r="38" spans="1:10" x14ac:dyDescent="0.2">
      <c r="A38" s="16"/>
      <c r="B38" s="16" t="s">
        <v>48</v>
      </c>
      <c r="C38" s="16">
        <f>'Front page'!D34</f>
        <v>0</v>
      </c>
      <c r="D38" s="16" t="s">
        <v>108</v>
      </c>
      <c r="E38" s="16"/>
      <c r="F38" s="16"/>
      <c r="G38" s="16"/>
      <c r="H38" s="16"/>
      <c r="I38" s="16"/>
      <c r="J38" s="16"/>
    </row>
    <row r="39" spans="1:10" x14ac:dyDescent="0.2">
      <c r="A39" s="16"/>
      <c r="B39" s="16" t="s">
        <v>59</v>
      </c>
      <c r="C39" s="16">
        <f>'Front page'!D35</f>
        <v>0</v>
      </c>
      <c r="D39" s="16" t="s">
        <v>108</v>
      </c>
      <c r="E39" s="16"/>
      <c r="F39" s="16"/>
      <c r="G39" s="16"/>
      <c r="H39" s="16"/>
      <c r="I39" s="16"/>
      <c r="J39" s="16"/>
    </row>
    <row r="40" spans="1:10" x14ac:dyDescent="0.2">
      <c r="A40" s="16"/>
      <c r="B40" s="16"/>
      <c r="C40" s="16"/>
      <c r="D40" s="16"/>
      <c r="E40" s="16"/>
      <c r="F40" s="16"/>
      <c r="G40" s="16"/>
      <c r="H40" s="16"/>
      <c r="I40" s="16"/>
      <c r="J40" s="16"/>
    </row>
    <row r="41" spans="1:10" x14ac:dyDescent="0.2">
      <c r="A41" s="16"/>
      <c r="B41" s="16"/>
      <c r="C41" s="16"/>
      <c r="D41" s="16"/>
      <c r="E41" s="16"/>
      <c r="F41" s="16"/>
      <c r="G41" s="16"/>
      <c r="H41" s="16"/>
      <c r="I41" s="16"/>
      <c r="J41" s="16"/>
    </row>
  </sheetData>
  <sheetProtection algorithmName="SHA-512" hashValue="Ll2cdNnPXQa5SaAt1LLwVZugRuAbHrkLmRbQ3rSZG3BL3rDR+JrwRUS0TP8mfVLUDYiZfYfb704EC3x0AKj1fQ==" saltValue="FALLaZ0uaBlgr9mZcrAxmw==" spinCount="100000" sheet="1" objects="1" scenarios="1" selectLockedCells="1" selectUnlockedCells="1"/>
  <phoneticPr fontId="0" type="noConversion"/>
  <pageMargins left="0.75" right="0.75" top="1" bottom="1" header="0.5" footer="0.5"/>
  <headerFooter alignWithMargins="0"/>
  <ignoredErrors>
    <ignoredError sqref="B18" 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6"/>
  <dimension ref="A1:BI76"/>
  <sheetViews>
    <sheetView workbookViewId="0">
      <selection activeCell="B20" sqref="B20:C20"/>
    </sheetView>
  </sheetViews>
  <sheetFormatPr defaultRowHeight="12.75" x14ac:dyDescent="0.2"/>
  <cols>
    <col min="1" max="1" width="10.140625" style="11" customWidth="1"/>
    <col min="2" max="2" width="5.7109375" customWidth="1"/>
    <col min="3" max="61" width="10.28515625" customWidth="1"/>
  </cols>
  <sheetData>
    <row r="1" spans="1:61" x14ac:dyDescent="0.2">
      <c r="A1" s="16"/>
      <c r="B1" s="16"/>
      <c r="C1" s="16">
        <v>1</v>
      </c>
      <c r="D1" s="16">
        <v>2</v>
      </c>
      <c r="E1" s="16">
        <v>3</v>
      </c>
      <c r="F1" s="16">
        <v>4</v>
      </c>
      <c r="G1" s="16">
        <v>5</v>
      </c>
      <c r="H1" s="16">
        <v>6</v>
      </c>
      <c r="I1" s="16">
        <v>7</v>
      </c>
      <c r="J1" s="16">
        <v>8</v>
      </c>
      <c r="K1" s="16">
        <v>9</v>
      </c>
      <c r="L1" s="16">
        <v>10</v>
      </c>
      <c r="M1" s="16">
        <v>11</v>
      </c>
      <c r="N1" s="16">
        <v>12</v>
      </c>
      <c r="O1" s="16">
        <v>13</v>
      </c>
      <c r="P1" s="16">
        <v>14</v>
      </c>
      <c r="Q1" s="16">
        <v>15</v>
      </c>
      <c r="R1" s="16">
        <v>16</v>
      </c>
      <c r="S1" s="16">
        <v>17</v>
      </c>
      <c r="T1" s="16">
        <v>18</v>
      </c>
      <c r="U1" s="16">
        <v>19</v>
      </c>
      <c r="V1" s="16">
        <v>20</v>
      </c>
      <c r="W1" s="16">
        <v>21</v>
      </c>
      <c r="X1" s="16">
        <v>22</v>
      </c>
      <c r="Y1" s="16">
        <v>23</v>
      </c>
      <c r="Z1" s="16">
        <v>24</v>
      </c>
      <c r="AA1" s="16">
        <v>25</v>
      </c>
      <c r="AB1" s="16">
        <v>26</v>
      </c>
      <c r="AC1" s="16">
        <v>27</v>
      </c>
      <c r="AD1" s="16">
        <v>28</v>
      </c>
      <c r="AE1" s="16">
        <v>29</v>
      </c>
      <c r="AF1" s="16">
        <v>30</v>
      </c>
      <c r="AG1" s="16">
        <v>31</v>
      </c>
      <c r="AH1" s="16">
        <v>32</v>
      </c>
      <c r="AI1" s="16">
        <v>33</v>
      </c>
      <c r="AJ1" s="16">
        <v>34</v>
      </c>
      <c r="AK1" s="16">
        <v>35</v>
      </c>
      <c r="AL1" s="16">
        <v>36</v>
      </c>
      <c r="AM1" s="16">
        <v>37</v>
      </c>
      <c r="AN1" s="16">
        <v>38</v>
      </c>
      <c r="AO1" s="16">
        <v>39</v>
      </c>
      <c r="AP1" s="16">
        <v>40</v>
      </c>
      <c r="AQ1" s="16">
        <v>41</v>
      </c>
      <c r="AR1" s="16">
        <v>42</v>
      </c>
      <c r="AS1" s="16">
        <v>43</v>
      </c>
      <c r="AT1" s="16">
        <v>44</v>
      </c>
      <c r="AU1" s="16">
        <v>45</v>
      </c>
      <c r="AV1" s="16">
        <v>46</v>
      </c>
      <c r="AZ1" s="16">
        <v>1</v>
      </c>
      <c r="BA1" s="16">
        <v>2</v>
      </c>
      <c r="BB1" s="16">
        <v>3</v>
      </c>
      <c r="BC1" s="16">
        <v>4</v>
      </c>
      <c r="BD1" s="16">
        <v>5</v>
      </c>
      <c r="BE1" s="16">
        <v>6</v>
      </c>
      <c r="BF1" s="16">
        <v>7</v>
      </c>
      <c r="BG1" s="16">
        <v>8</v>
      </c>
      <c r="BH1" s="16">
        <v>9</v>
      </c>
      <c r="BI1" s="16">
        <v>10</v>
      </c>
    </row>
    <row r="2" spans="1:61" x14ac:dyDescent="0.2">
      <c r="A2" s="20" t="s">
        <v>6</v>
      </c>
      <c r="B2" s="20" t="s">
        <v>7</v>
      </c>
      <c r="C2" s="20" t="s">
        <v>125</v>
      </c>
      <c r="D2" s="20" t="s">
        <v>126</v>
      </c>
      <c r="E2" s="20" t="s">
        <v>131</v>
      </c>
      <c r="F2" s="20" t="s">
        <v>132</v>
      </c>
      <c r="G2" s="20" t="s">
        <v>128</v>
      </c>
      <c r="H2" s="20" t="s">
        <v>130</v>
      </c>
      <c r="I2" s="35" t="s">
        <v>129</v>
      </c>
      <c r="J2" s="20" t="s">
        <v>141</v>
      </c>
      <c r="K2" s="20" t="s">
        <v>133</v>
      </c>
      <c r="L2" s="20" t="s">
        <v>134</v>
      </c>
      <c r="M2" s="20" t="s">
        <v>127</v>
      </c>
      <c r="N2" s="20" t="s">
        <v>120</v>
      </c>
      <c r="O2" s="20" t="s">
        <v>121</v>
      </c>
      <c r="P2" s="20" t="s">
        <v>122</v>
      </c>
      <c r="Q2" s="20" t="s">
        <v>123</v>
      </c>
      <c r="R2" s="20" t="s">
        <v>124</v>
      </c>
      <c r="S2" s="20" t="s">
        <v>149</v>
      </c>
      <c r="T2" s="20" t="s">
        <v>150</v>
      </c>
      <c r="U2" s="20" t="s">
        <v>148</v>
      </c>
      <c r="V2" s="20" t="s">
        <v>147</v>
      </c>
      <c r="W2" s="20" t="s">
        <v>136</v>
      </c>
      <c r="X2" s="20" t="s">
        <v>137</v>
      </c>
      <c r="Y2" s="20" t="s">
        <v>138</v>
      </c>
      <c r="Z2" s="20" t="s">
        <v>139</v>
      </c>
      <c r="AA2" s="20" t="s">
        <v>140</v>
      </c>
      <c r="AB2" s="20" t="s">
        <v>135</v>
      </c>
      <c r="AC2" s="20" t="s">
        <v>142</v>
      </c>
      <c r="AD2" s="20" t="s">
        <v>143</v>
      </c>
      <c r="AE2" s="20" t="s">
        <v>8</v>
      </c>
      <c r="AF2" s="20" t="s">
        <v>9</v>
      </c>
      <c r="AG2" s="20" t="s">
        <v>10</v>
      </c>
      <c r="AH2" s="20" t="s">
        <v>11</v>
      </c>
      <c r="AI2" s="35" t="s">
        <v>79</v>
      </c>
      <c r="AJ2" s="20" t="s">
        <v>14</v>
      </c>
      <c r="AK2" s="20" t="s">
        <v>15</v>
      </c>
      <c r="AL2" s="20" t="s">
        <v>145</v>
      </c>
      <c r="AM2" s="20" t="s">
        <v>109</v>
      </c>
      <c r="AN2" s="20" t="s">
        <v>146</v>
      </c>
      <c r="AO2" s="20" t="s">
        <v>16</v>
      </c>
      <c r="AP2" s="20" t="s">
        <v>110</v>
      </c>
      <c r="AQ2" s="20" t="s">
        <v>144</v>
      </c>
      <c r="AR2" s="20" t="s">
        <v>111</v>
      </c>
      <c r="AS2" s="20" t="s">
        <v>112</v>
      </c>
      <c r="AT2" s="16" t="s">
        <v>153</v>
      </c>
      <c r="AU2" s="16" t="s">
        <v>151</v>
      </c>
      <c r="AV2" s="16" t="s">
        <v>152</v>
      </c>
      <c r="AZ2" s="20" t="s">
        <v>8</v>
      </c>
      <c r="BA2" s="20" t="s">
        <v>9</v>
      </c>
      <c r="BB2" s="20" t="s">
        <v>10</v>
      </c>
      <c r="BC2" s="20" t="s">
        <v>11</v>
      </c>
      <c r="BD2" s="20" t="s">
        <v>12</v>
      </c>
      <c r="BE2" s="20" t="s">
        <v>13</v>
      </c>
      <c r="BF2" s="20" t="s">
        <v>14</v>
      </c>
      <c r="BG2" s="20" t="s">
        <v>15</v>
      </c>
      <c r="BH2" s="20"/>
      <c r="BI2" s="20" t="s">
        <v>16</v>
      </c>
    </row>
    <row r="3" spans="1:61" ht="15.75" x14ac:dyDescent="0.3">
      <c r="A3" s="16" t="s">
        <v>205</v>
      </c>
      <c r="B3" s="16"/>
      <c r="C3" s="24">
        <v>1500</v>
      </c>
      <c r="D3" s="24">
        <v>1600</v>
      </c>
      <c r="E3" s="24">
        <v>2800</v>
      </c>
      <c r="F3" s="20">
        <v>3200</v>
      </c>
      <c r="G3" s="24">
        <v>1900</v>
      </c>
      <c r="H3" s="24">
        <v>3550</v>
      </c>
      <c r="I3" s="24">
        <v>2948</v>
      </c>
      <c r="J3" s="24">
        <v>3420</v>
      </c>
      <c r="K3" s="24">
        <v>5900</v>
      </c>
      <c r="L3" s="24">
        <v>5400</v>
      </c>
      <c r="M3" s="24">
        <v>1700</v>
      </c>
      <c r="N3" s="24" t="s">
        <v>155</v>
      </c>
      <c r="O3" s="24">
        <v>1050</v>
      </c>
      <c r="P3" s="24">
        <v>1225</v>
      </c>
      <c r="Q3" s="24">
        <v>1250</v>
      </c>
      <c r="R3" s="24">
        <v>1400</v>
      </c>
      <c r="S3" s="24">
        <v>1300</v>
      </c>
      <c r="T3" s="24">
        <v>1900</v>
      </c>
      <c r="U3" s="24">
        <v>1200</v>
      </c>
      <c r="V3" s="24">
        <v>800</v>
      </c>
      <c r="W3" s="24">
        <v>1500</v>
      </c>
      <c r="X3" s="24">
        <v>1400</v>
      </c>
      <c r="Y3" s="24">
        <v>1940</v>
      </c>
      <c r="Z3" s="24">
        <v>5588</v>
      </c>
      <c r="AA3" s="24"/>
      <c r="AB3" s="24">
        <v>1120</v>
      </c>
      <c r="AC3" s="24">
        <v>603.20299716287002</v>
      </c>
      <c r="AD3" s="24"/>
      <c r="AE3" s="24">
        <v>3243.4059735622236</v>
      </c>
      <c r="AF3" s="24">
        <v>1374.1294588464725</v>
      </c>
      <c r="AG3" s="24">
        <v>738.24696106491365</v>
      </c>
      <c r="AH3" s="24">
        <v>1192.5351544701732</v>
      </c>
      <c r="AI3" s="24">
        <v>1795.99</v>
      </c>
      <c r="AJ3" s="24">
        <v>2437.1987707829785</v>
      </c>
      <c r="AK3" s="24">
        <v>236.64393604747983</v>
      </c>
      <c r="AL3" s="24">
        <v>839.41955725190849</v>
      </c>
      <c r="AM3" s="24">
        <v>1212.8165202489952</v>
      </c>
      <c r="AN3" s="24"/>
      <c r="AO3" s="24">
        <v>127.47</v>
      </c>
      <c r="AP3" s="24">
        <v>2441.2512904378723</v>
      </c>
      <c r="AQ3" s="24"/>
      <c r="AR3" s="24">
        <v>1529.5359477124182</v>
      </c>
      <c r="AS3" s="24">
        <v>4000</v>
      </c>
      <c r="AT3" s="24"/>
      <c r="AU3" s="24"/>
      <c r="AV3" s="24"/>
      <c r="AW3" s="1"/>
      <c r="AX3" s="1"/>
      <c r="AZ3" s="24">
        <v>3244.97</v>
      </c>
      <c r="BA3" s="24">
        <v>1374.84</v>
      </c>
      <c r="BB3" s="24">
        <v>810</v>
      </c>
      <c r="BC3" s="24">
        <v>1193.04</v>
      </c>
      <c r="BD3" s="24">
        <v>1795.99</v>
      </c>
      <c r="BE3" s="24">
        <v>1219.69</v>
      </c>
      <c r="BF3" s="24">
        <v>2438</v>
      </c>
      <c r="BG3" s="24">
        <v>236.66</v>
      </c>
      <c r="BH3" s="24"/>
      <c r="BI3" s="24">
        <v>127.47</v>
      </c>
    </row>
    <row r="4" spans="1:61" ht="15.75" x14ac:dyDescent="0.3">
      <c r="A4" s="16" t="s">
        <v>206</v>
      </c>
      <c r="B4" s="16"/>
      <c r="C4" s="20">
        <v>1800</v>
      </c>
      <c r="D4" s="24">
        <v>1900</v>
      </c>
      <c r="E4" s="24">
        <v>3250</v>
      </c>
      <c r="F4" s="24">
        <v>3800</v>
      </c>
      <c r="G4" s="24">
        <v>2050</v>
      </c>
      <c r="H4" s="24">
        <v>3450</v>
      </c>
      <c r="I4" s="24">
        <v>2650</v>
      </c>
      <c r="J4" s="24">
        <v>4100</v>
      </c>
      <c r="K4" s="24">
        <v>5700</v>
      </c>
      <c r="L4" s="24">
        <v>6500</v>
      </c>
      <c r="M4" s="24">
        <v>2000</v>
      </c>
      <c r="N4" s="24">
        <v>1000</v>
      </c>
      <c r="O4" s="24">
        <v>1100</v>
      </c>
      <c r="P4" s="24">
        <v>1250</v>
      </c>
      <c r="Q4" s="24">
        <v>1300</v>
      </c>
      <c r="R4" s="24">
        <v>1600</v>
      </c>
      <c r="S4" s="24">
        <v>1400</v>
      </c>
      <c r="T4" s="24">
        <v>2200</v>
      </c>
      <c r="U4" s="24">
        <v>1100</v>
      </c>
      <c r="V4" s="24">
        <v>700</v>
      </c>
      <c r="W4" s="24">
        <v>1250</v>
      </c>
      <c r="X4" s="24">
        <v>1350</v>
      </c>
      <c r="Y4" s="24">
        <v>1900</v>
      </c>
      <c r="Z4" s="24">
        <v>5000</v>
      </c>
      <c r="AA4" s="24">
        <v>2900</v>
      </c>
      <c r="AB4" s="24">
        <v>1030</v>
      </c>
      <c r="AC4" s="24">
        <v>659.84279457031209</v>
      </c>
      <c r="AD4" s="24">
        <v>813.43018108488138</v>
      </c>
      <c r="AE4" s="24">
        <v>3697.0062898638857</v>
      </c>
      <c r="AF4" s="24">
        <v>1503.26</v>
      </c>
      <c r="AG4" s="24">
        <v>425.49</v>
      </c>
      <c r="AH4" s="24">
        <v>1325.63</v>
      </c>
      <c r="AI4" s="24">
        <v>1802.77</v>
      </c>
      <c r="AJ4" s="24">
        <v>2837.915</v>
      </c>
      <c r="AK4" s="24">
        <v>219.65478135321052</v>
      </c>
      <c r="AL4" s="24">
        <v>852.91</v>
      </c>
      <c r="AM4" s="24">
        <v>1147.9409324384301</v>
      </c>
      <c r="AN4" s="24">
        <v>1750</v>
      </c>
      <c r="AO4" s="24">
        <v>113.43860636987058</v>
      </c>
      <c r="AP4" s="24">
        <v>2867.11</v>
      </c>
      <c r="AQ4" s="24">
        <v>1140</v>
      </c>
      <c r="AR4" s="24">
        <v>1100.33</v>
      </c>
      <c r="AS4" s="24">
        <v>4500</v>
      </c>
      <c r="AT4" s="24"/>
      <c r="AU4" s="24"/>
      <c r="AV4" s="24"/>
      <c r="AW4" s="1"/>
      <c r="AX4" s="1"/>
      <c r="AZ4" s="24">
        <v>3984.62</v>
      </c>
      <c r="BA4" s="24">
        <v>1503.26</v>
      </c>
      <c r="BB4" s="24">
        <v>425.49</v>
      </c>
      <c r="BC4" s="24">
        <v>1300</v>
      </c>
      <c r="BD4" s="24">
        <v>1802.77</v>
      </c>
      <c r="BE4" s="24">
        <v>989.52</v>
      </c>
      <c r="BF4" s="24">
        <v>2874.16</v>
      </c>
      <c r="BG4" s="24">
        <v>208.22</v>
      </c>
      <c r="BH4" s="24"/>
      <c r="BI4" s="24">
        <v>124.08</v>
      </c>
    </row>
    <row r="5" spans="1:61" ht="15.75" x14ac:dyDescent="0.3">
      <c r="A5" s="16" t="s">
        <v>207</v>
      </c>
      <c r="B5" s="16"/>
      <c r="C5" s="24">
        <v>1029.5999999999999</v>
      </c>
      <c r="D5" s="24">
        <v>1004.64</v>
      </c>
      <c r="E5" s="24">
        <v>1348.48</v>
      </c>
      <c r="F5" s="24">
        <v>1253.1199999999999</v>
      </c>
      <c r="G5" s="24">
        <v>915.04000000000008</v>
      </c>
      <c r="H5" s="24">
        <v>1390.1799999999998</v>
      </c>
      <c r="I5" s="24">
        <v>1200.1308000000001</v>
      </c>
      <c r="J5" s="24">
        <v>1496.25</v>
      </c>
      <c r="K5" s="24">
        <v>2300</v>
      </c>
      <c r="L5" s="24">
        <v>2465</v>
      </c>
      <c r="M5" s="24">
        <v>1046.52</v>
      </c>
      <c r="N5" s="24" t="s">
        <v>155</v>
      </c>
      <c r="O5" s="24">
        <v>730</v>
      </c>
      <c r="P5" s="24">
        <v>950</v>
      </c>
      <c r="Q5" s="24">
        <v>975</v>
      </c>
      <c r="R5" s="24">
        <v>1000</v>
      </c>
      <c r="S5" s="24">
        <v>1000</v>
      </c>
      <c r="T5" s="24">
        <v>1400</v>
      </c>
      <c r="U5" s="24">
        <v>1060</v>
      </c>
      <c r="V5" s="24">
        <v>450</v>
      </c>
      <c r="W5" s="24">
        <v>760</v>
      </c>
      <c r="X5" s="24">
        <v>808</v>
      </c>
      <c r="Y5" s="24">
        <v>906</v>
      </c>
      <c r="Z5" s="24">
        <v>2771</v>
      </c>
      <c r="AA5" s="24"/>
      <c r="AB5" s="24">
        <v>587</v>
      </c>
      <c r="AC5" s="24">
        <v>553.97775397907856</v>
      </c>
      <c r="AD5" s="24"/>
      <c r="AE5" s="24">
        <v>2116.92</v>
      </c>
      <c r="AF5" s="24">
        <v>860.25</v>
      </c>
      <c r="AG5" s="24">
        <v>525.9</v>
      </c>
      <c r="AH5" s="24">
        <v>828.3</v>
      </c>
      <c r="AI5" s="24">
        <v>1129.69</v>
      </c>
      <c r="AJ5" s="24">
        <v>1341</v>
      </c>
      <c r="AK5" s="24">
        <v>224.33</v>
      </c>
      <c r="AL5" s="24">
        <v>656.84229655355023</v>
      </c>
      <c r="AM5" s="24">
        <v>886.94432558393703</v>
      </c>
      <c r="AN5" s="24"/>
      <c r="AO5" s="24">
        <v>127.20864455068264</v>
      </c>
      <c r="AP5" s="24">
        <v>1460.5869196024187</v>
      </c>
      <c r="AQ5" s="24"/>
      <c r="AR5" s="24">
        <v>1109.0583151867775</v>
      </c>
      <c r="AS5" s="24">
        <v>2710</v>
      </c>
      <c r="AT5" s="24"/>
      <c r="AU5" s="24"/>
      <c r="AV5" s="24"/>
      <c r="AW5" s="1"/>
      <c r="AX5" s="1"/>
      <c r="AZ5" s="24">
        <v>2116.92</v>
      </c>
      <c r="BA5" s="24">
        <v>860.25</v>
      </c>
      <c r="BB5" s="24">
        <v>723.38750999999991</v>
      </c>
      <c r="BC5" s="24">
        <v>828.3</v>
      </c>
      <c r="BD5" s="24">
        <v>1129.69</v>
      </c>
      <c r="BE5" s="24">
        <v>733.75</v>
      </c>
      <c r="BF5" s="24">
        <v>1341</v>
      </c>
      <c r="BG5" s="24">
        <v>224.33</v>
      </c>
      <c r="BH5" s="24"/>
      <c r="BI5" s="24">
        <v>127.21</v>
      </c>
    </row>
    <row r="6" spans="1:61" ht="15.75" x14ac:dyDescent="0.3">
      <c r="A6" s="16" t="s">
        <v>208</v>
      </c>
      <c r="B6" s="16"/>
      <c r="C6" s="24">
        <v>875</v>
      </c>
      <c r="D6" s="24">
        <v>840</v>
      </c>
      <c r="E6" s="24">
        <v>775</v>
      </c>
      <c r="F6" s="24">
        <v>1200</v>
      </c>
      <c r="G6" s="24">
        <v>700</v>
      </c>
      <c r="H6" s="24">
        <v>1100</v>
      </c>
      <c r="I6" s="24">
        <v>775</v>
      </c>
      <c r="J6" s="24">
        <v>1300</v>
      </c>
      <c r="K6" s="24">
        <v>2050</v>
      </c>
      <c r="L6" s="24">
        <v>2500</v>
      </c>
      <c r="M6" s="24">
        <v>900</v>
      </c>
      <c r="N6" s="24">
        <v>445</v>
      </c>
      <c r="O6" s="24">
        <v>500</v>
      </c>
      <c r="P6" s="24">
        <v>590</v>
      </c>
      <c r="Q6" s="24">
        <v>600</v>
      </c>
      <c r="R6" s="24">
        <v>825</v>
      </c>
      <c r="S6" s="24">
        <v>990</v>
      </c>
      <c r="T6" s="24">
        <v>1300</v>
      </c>
      <c r="U6" s="24">
        <v>980</v>
      </c>
      <c r="V6" s="24">
        <v>500</v>
      </c>
      <c r="W6" s="24">
        <v>633</v>
      </c>
      <c r="X6" s="24">
        <v>817</v>
      </c>
      <c r="Y6" s="24">
        <v>823</v>
      </c>
      <c r="Z6" s="24">
        <v>2310</v>
      </c>
      <c r="AA6" s="24">
        <v>1284.1200000000001</v>
      </c>
      <c r="AB6" s="24">
        <v>540</v>
      </c>
      <c r="AC6" s="24">
        <v>547.68856494410454</v>
      </c>
      <c r="AD6" s="24">
        <v>569.38787872355965</v>
      </c>
      <c r="AE6" s="24">
        <v>1938.152005377048</v>
      </c>
      <c r="AF6" s="24">
        <v>872.78</v>
      </c>
      <c r="AG6" s="24">
        <v>238.73</v>
      </c>
      <c r="AH6" s="24">
        <v>699.67</v>
      </c>
      <c r="AI6" s="24">
        <v>913.73</v>
      </c>
      <c r="AJ6" s="24">
        <v>1234.2750000000001</v>
      </c>
      <c r="AK6" s="24">
        <v>179.94076969267724</v>
      </c>
      <c r="AL6" s="24">
        <v>533.17999999999995</v>
      </c>
      <c r="AM6" s="24">
        <v>689.38544064702842</v>
      </c>
      <c r="AN6" s="24"/>
      <c r="AO6" s="24">
        <v>109.81830712788266</v>
      </c>
      <c r="AP6" s="24">
        <v>1441.4</v>
      </c>
      <c r="AQ6" s="24">
        <v>727.68023999999991</v>
      </c>
      <c r="AR6" s="24">
        <v>604.44000000000005</v>
      </c>
      <c r="AS6" s="24">
        <v>2230</v>
      </c>
      <c r="AT6" s="24"/>
      <c r="AU6" s="24"/>
      <c r="AV6" s="24"/>
      <c r="AW6" s="1"/>
      <c r="AX6" s="1"/>
      <c r="AZ6" s="24">
        <v>1975.23</v>
      </c>
      <c r="BA6" s="24">
        <v>872.78</v>
      </c>
      <c r="BB6" s="24">
        <v>238.73</v>
      </c>
      <c r="BC6" s="24">
        <v>699.67</v>
      </c>
      <c r="BD6" s="24">
        <v>913.73</v>
      </c>
      <c r="BE6" s="24">
        <v>509.78</v>
      </c>
      <c r="BF6" s="24">
        <v>1221.6099999999999</v>
      </c>
      <c r="BG6" s="24">
        <v>172.43</v>
      </c>
      <c r="BH6" s="24"/>
      <c r="BI6" s="24">
        <v>116.27</v>
      </c>
    </row>
    <row r="7" spans="1:61" ht="15.75" x14ac:dyDescent="0.3">
      <c r="A7" s="22" t="s">
        <v>209</v>
      </c>
      <c r="B7" s="16"/>
      <c r="C7" s="29">
        <v>0.02</v>
      </c>
      <c r="D7" s="29">
        <v>0.02</v>
      </c>
      <c r="E7" s="29">
        <v>0.02</v>
      </c>
      <c r="F7" s="29">
        <v>0.02</v>
      </c>
      <c r="G7" s="29">
        <v>0.02</v>
      </c>
      <c r="H7" s="29">
        <v>0.02</v>
      </c>
      <c r="I7" s="29">
        <v>0.02</v>
      </c>
      <c r="J7" s="29">
        <v>0.02</v>
      </c>
      <c r="K7" s="29">
        <v>0.03</v>
      </c>
      <c r="L7" s="29">
        <v>0.03</v>
      </c>
      <c r="M7" s="29">
        <v>0.02</v>
      </c>
      <c r="N7" s="29">
        <v>4.0000000000000001E-3</v>
      </c>
      <c r="O7" s="29">
        <v>4.0000000000000001E-3</v>
      </c>
      <c r="P7" s="29">
        <v>4.0000000000000001E-3</v>
      </c>
      <c r="Q7" s="29">
        <v>4.0000000000000001E-3</v>
      </c>
      <c r="R7" s="29">
        <v>4.0000000000000001E-3</v>
      </c>
      <c r="S7" s="29">
        <v>1.2999999999999999E-2</v>
      </c>
      <c r="T7" s="29">
        <v>1.9E-2</v>
      </c>
      <c r="U7" s="29">
        <v>0.01</v>
      </c>
      <c r="V7" s="29">
        <v>4.0000000000000001E-3</v>
      </c>
      <c r="W7" s="29">
        <v>2.5000000000000001E-3</v>
      </c>
      <c r="X7" s="29">
        <v>4.0000000000000001E-3</v>
      </c>
      <c r="Y7" s="29">
        <v>1.4999999999999999E-2</v>
      </c>
      <c r="Z7" s="29">
        <v>2.1999999999999999E-2</v>
      </c>
      <c r="AA7" s="29">
        <v>1.4E-2</v>
      </c>
      <c r="AB7" s="29">
        <v>1.6999999999999999E-3</v>
      </c>
      <c r="AC7" s="29">
        <v>2.9499999999999998E-2</v>
      </c>
      <c r="AD7" s="29">
        <v>3.2000000000000001E-2</v>
      </c>
      <c r="AE7" s="29">
        <v>1.3639999999999999E-2</v>
      </c>
      <c r="AF7" s="29">
        <v>1.2999999999999999E-2</v>
      </c>
      <c r="AG7" s="29">
        <v>1.6000000000000001E-3</v>
      </c>
      <c r="AH7" s="29">
        <v>3.0000000000000001E-3</v>
      </c>
      <c r="AI7" s="29">
        <v>1.7000000000000001E-2</v>
      </c>
      <c r="AJ7" s="29">
        <v>1.585E-2</v>
      </c>
      <c r="AK7" s="29">
        <v>1.41</v>
      </c>
      <c r="AL7" s="29">
        <v>2.93546E-3</v>
      </c>
      <c r="AM7" s="29">
        <v>1.4999999999999999E-2</v>
      </c>
      <c r="AN7" s="29">
        <v>1.9E-2</v>
      </c>
      <c r="AO7" s="29">
        <v>4.0000000000000001E-3</v>
      </c>
      <c r="AP7" s="29">
        <v>2.8999999999999998E-3</v>
      </c>
      <c r="AQ7" s="29">
        <v>0.02</v>
      </c>
      <c r="AR7" s="29">
        <v>1.4773E-3</v>
      </c>
      <c r="AS7" s="29">
        <v>0.02</v>
      </c>
      <c r="AT7" s="29"/>
      <c r="AU7" s="29"/>
      <c r="AV7" s="29"/>
      <c r="AW7" s="2"/>
      <c r="AX7" s="2"/>
      <c r="AZ7" s="29">
        <v>1.6E-2</v>
      </c>
      <c r="BA7" s="29">
        <v>1.2999999999999999E-2</v>
      </c>
      <c r="BB7" s="29">
        <v>1.6000000000000001E-3</v>
      </c>
      <c r="BC7" s="29">
        <v>3.0000000000000001E-3</v>
      </c>
      <c r="BD7" s="29">
        <v>1.7000000000000001E-2</v>
      </c>
      <c r="BE7" s="29">
        <v>4.0000000000000001E-3</v>
      </c>
      <c r="BF7" s="29">
        <v>1.585E-2</v>
      </c>
      <c r="BG7" s="29">
        <v>1.4E-2</v>
      </c>
      <c r="BH7" s="24"/>
      <c r="BI7" s="29">
        <v>4.0000000000000001E-3</v>
      </c>
    </row>
    <row r="8" spans="1:61" ht="15.75" x14ac:dyDescent="0.3">
      <c r="A8" s="23" t="s">
        <v>210</v>
      </c>
      <c r="B8" s="16" t="s">
        <v>17</v>
      </c>
      <c r="C8" s="21">
        <v>325</v>
      </c>
      <c r="D8" s="21">
        <v>325</v>
      </c>
      <c r="E8" s="21">
        <v>225</v>
      </c>
      <c r="F8" s="21">
        <v>225</v>
      </c>
      <c r="G8" s="21">
        <v>325</v>
      </c>
      <c r="H8" s="21">
        <v>242</v>
      </c>
      <c r="I8" s="21">
        <v>270</v>
      </c>
      <c r="J8" s="21">
        <v>223</v>
      </c>
      <c r="K8" s="21">
        <v>155</v>
      </c>
      <c r="L8" s="21" t="s">
        <v>156</v>
      </c>
      <c r="M8" s="21">
        <v>325</v>
      </c>
      <c r="N8" s="21">
        <v>325</v>
      </c>
      <c r="O8" s="21">
        <v>325</v>
      </c>
      <c r="P8" s="21">
        <v>325</v>
      </c>
      <c r="Q8" s="21">
        <v>325</v>
      </c>
      <c r="R8" s="21">
        <v>325</v>
      </c>
      <c r="S8" s="21">
        <v>290</v>
      </c>
      <c r="T8" s="21">
        <v>250</v>
      </c>
      <c r="U8" s="21">
        <v>230</v>
      </c>
      <c r="V8" s="21">
        <v>340</v>
      </c>
      <c r="W8" s="21">
        <v>318</v>
      </c>
      <c r="X8" s="21">
        <v>318</v>
      </c>
      <c r="Y8" s="21">
        <v>360</v>
      </c>
      <c r="Z8" s="21">
        <v>160</v>
      </c>
      <c r="AA8" s="21">
        <v>242</v>
      </c>
      <c r="AB8" s="21">
        <v>300</v>
      </c>
      <c r="AC8" s="21">
        <v>205</v>
      </c>
      <c r="AD8" s="21">
        <v>85</v>
      </c>
      <c r="AE8" s="21">
        <v>220</v>
      </c>
      <c r="AF8" s="21">
        <v>350</v>
      </c>
      <c r="AG8" s="21">
        <v>330</v>
      </c>
      <c r="AH8" s="21">
        <v>330</v>
      </c>
      <c r="AI8" s="21">
        <v>350</v>
      </c>
      <c r="AJ8" s="21">
        <v>235</v>
      </c>
      <c r="AK8" s="21">
        <v>400</v>
      </c>
      <c r="AL8" s="21">
        <v>350</v>
      </c>
      <c r="AM8" s="21">
        <v>350</v>
      </c>
      <c r="AN8" s="21">
        <v>220</v>
      </c>
      <c r="AO8" s="21">
        <v>650</v>
      </c>
      <c r="AP8" s="21">
        <v>225</v>
      </c>
      <c r="AQ8" s="21">
        <v>333</v>
      </c>
      <c r="AR8" s="21">
        <v>320</v>
      </c>
      <c r="AS8" s="21">
        <v>185</v>
      </c>
      <c r="AT8" s="21"/>
      <c r="AU8" s="21"/>
      <c r="AV8" s="21"/>
      <c r="AW8" s="3"/>
      <c r="AX8" s="3"/>
      <c r="AZ8" s="21">
        <v>218</v>
      </c>
      <c r="BA8" s="21">
        <v>350</v>
      </c>
      <c r="BB8" s="21">
        <v>330</v>
      </c>
      <c r="BC8" s="21">
        <v>330</v>
      </c>
      <c r="BD8" s="21">
        <v>350</v>
      </c>
      <c r="BE8" s="21">
        <v>330</v>
      </c>
      <c r="BF8" s="21">
        <v>235</v>
      </c>
      <c r="BG8" s="21">
        <v>400</v>
      </c>
      <c r="BH8" s="24"/>
      <c r="BI8" s="21">
        <v>650</v>
      </c>
    </row>
    <row r="9" spans="1:61" ht="15.75" x14ac:dyDescent="0.3">
      <c r="A9" s="23" t="s">
        <v>211</v>
      </c>
      <c r="B9" s="16"/>
      <c r="C9" s="29">
        <v>0.63</v>
      </c>
      <c r="D9" s="29">
        <v>0.65</v>
      </c>
      <c r="E9" s="29">
        <v>0.69</v>
      </c>
      <c r="F9" s="29">
        <v>0.75</v>
      </c>
      <c r="G9" s="29">
        <v>0.68</v>
      </c>
      <c r="H9" s="29">
        <v>0.74</v>
      </c>
      <c r="I9" s="29">
        <v>0.72</v>
      </c>
      <c r="J9" s="29">
        <v>0.75</v>
      </c>
      <c r="K9" s="29">
        <v>0.7</v>
      </c>
      <c r="L9" s="29">
        <v>0.66</v>
      </c>
      <c r="M9" s="29">
        <v>0.66</v>
      </c>
      <c r="N9" s="29">
        <v>0.56000000000000005</v>
      </c>
      <c r="O9" s="29">
        <v>0.56999999999999995</v>
      </c>
      <c r="P9" s="29">
        <v>0.57999999999999996</v>
      </c>
      <c r="Q9" s="29">
        <v>0.57999999999999996</v>
      </c>
      <c r="R9" s="29">
        <v>0.57999999999999996</v>
      </c>
      <c r="S9" s="29">
        <v>0.47</v>
      </c>
      <c r="T9" s="29">
        <v>0.53</v>
      </c>
      <c r="U9" s="29">
        <v>0.28999999999999998</v>
      </c>
      <c r="V9" s="29">
        <v>0.4</v>
      </c>
      <c r="W9" s="29">
        <v>0.57999999999999996</v>
      </c>
      <c r="X9" s="29">
        <v>0.56999999999999995</v>
      </c>
      <c r="Y9" s="29">
        <v>0.65</v>
      </c>
      <c r="Z9" s="29">
        <v>0.65</v>
      </c>
      <c r="AA9" s="29">
        <v>0.64</v>
      </c>
      <c r="AB9" s="29">
        <v>0.56000000000000005</v>
      </c>
      <c r="AC9" s="29">
        <v>0.15400937372842297</v>
      </c>
      <c r="AD9" s="29">
        <v>0.32263862846185382</v>
      </c>
      <c r="AE9" s="29">
        <v>0.5774229981232627</v>
      </c>
      <c r="AF9" s="29">
        <v>0.52239999999999998</v>
      </c>
      <c r="AG9" s="29">
        <v>0.49390000000000001</v>
      </c>
      <c r="AH9" s="29">
        <v>0.5675</v>
      </c>
      <c r="AI9" s="29">
        <v>0.5917</v>
      </c>
      <c r="AJ9" s="29">
        <v>0.6351</v>
      </c>
      <c r="AK9" s="29">
        <v>8.1705559106521622E-2</v>
      </c>
      <c r="AL9" s="29">
        <v>0.35720000000000002</v>
      </c>
      <c r="AM9" s="29">
        <v>0.37509999999999999</v>
      </c>
      <c r="AN9" s="29">
        <v>0.18</v>
      </c>
      <c r="AO9" s="29">
        <v>2.0385076680566272E-2</v>
      </c>
      <c r="AP9" s="29">
        <v>0.58540000000000003</v>
      </c>
      <c r="AQ9" s="29">
        <v>0.4</v>
      </c>
      <c r="AR9" s="29">
        <v>0.52969999999999995</v>
      </c>
      <c r="AS9" s="29">
        <v>0.63</v>
      </c>
      <c r="AT9" s="29"/>
      <c r="AU9" s="29"/>
      <c r="AV9" s="29"/>
      <c r="AW9" s="2"/>
      <c r="AX9" s="2"/>
      <c r="AZ9" s="29">
        <v>0.60309999999999997</v>
      </c>
      <c r="BA9" s="29">
        <v>0.52239999999999998</v>
      </c>
      <c r="BB9" s="29">
        <v>0.49390000000000001</v>
      </c>
      <c r="BC9" s="29">
        <v>0.5675</v>
      </c>
      <c r="BD9" s="29">
        <v>0.5917</v>
      </c>
      <c r="BE9" s="29">
        <v>0.5786</v>
      </c>
      <c r="BF9" s="29">
        <v>0.64329999999999998</v>
      </c>
      <c r="BG9" s="29">
        <v>7.3499999999999996E-2</v>
      </c>
      <c r="BH9" s="24"/>
      <c r="BI9" s="29">
        <v>3.3399999999999999E-2</v>
      </c>
    </row>
    <row r="10" spans="1:61" ht="15.75" x14ac:dyDescent="0.3">
      <c r="A10" s="23" t="s">
        <v>212</v>
      </c>
      <c r="B10" s="16"/>
      <c r="C10" s="29">
        <v>0.49</v>
      </c>
      <c r="D10" s="29">
        <v>0.48</v>
      </c>
      <c r="E10" s="29">
        <v>0.56000000000000005</v>
      </c>
      <c r="F10" s="29">
        <v>0.55000000000000004</v>
      </c>
      <c r="G10" s="29">
        <v>0.49</v>
      </c>
      <c r="H10" s="29">
        <v>0.54</v>
      </c>
      <c r="I10" s="29">
        <v>0.53</v>
      </c>
      <c r="J10" s="29">
        <v>0.55000000000000004</v>
      </c>
      <c r="K10" s="29">
        <v>0.5</v>
      </c>
      <c r="L10" s="29">
        <v>0.49</v>
      </c>
      <c r="M10" s="29">
        <v>0.49</v>
      </c>
      <c r="N10" s="29">
        <v>0.51</v>
      </c>
      <c r="O10" s="29">
        <v>0.51</v>
      </c>
      <c r="P10" s="29">
        <v>0.51</v>
      </c>
      <c r="Q10" s="29">
        <v>0.51</v>
      </c>
      <c r="R10" s="29">
        <v>0.51</v>
      </c>
      <c r="S10" s="29">
        <v>0.39</v>
      </c>
      <c r="T10" s="29">
        <v>0.47</v>
      </c>
      <c r="U10" s="29">
        <v>0.3</v>
      </c>
      <c r="V10" s="29">
        <v>0.38</v>
      </c>
      <c r="W10" s="29">
        <v>0.48</v>
      </c>
      <c r="X10" s="29">
        <v>0.5</v>
      </c>
      <c r="Y10" s="29">
        <v>0.5</v>
      </c>
      <c r="Z10" s="29">
        <v>0.5</v>
      </c>
      <c r="AA10" s="29">
        <v>0.5</v>
      </c>
      <c r="AB10" s="29">
        <v>0.47</v>
      </c>
      <c r="AC10" s="29">
        <v>0.3870471136521898</v>
      </c>
      <c r="AD10" s="29">
        <v>0.46743408511909024</v>
      </c>
      <c r="AE10" s="29">
        <v>0.46209020632381814</v>
      </c>
      <c r="AF10" s="29">
        <v>0.44879999999999998</v>
      </c>
      <c r="AG10" s="29">
        <v>0.50780000000000003</v>
      </c>
      <c r="AH10" s="29">
        <v>0.47060000000000002</v>
      </c>
      <c r="AI10" s="29">
        <v>0.46920000000000001</v>
      </c>
      <c r="AJ10" s="29">
        <v>0.52069999999999994</v>
      </c>
      <c r="AK10" s="29">
        <v>0.41868411696734897</v>
      </c>
      <c r="AL10" s="29">
        <v>0.53239999999999998</v>
      </c>
      <c r="AM10" s="29">
        <v>0.54869999999999997</v>
      </c>
      <c r="AN10" s="29">
        <v>0.53</v>
      </c>
      <c r="AO10" s="29">
        <v>0.1775153959460341</v>
      </c>
      <c r="AP10" s="29">
        <v>0.4849</v>
      </c>
      <c r="AQ10" s="29">
        <v>0.49</v>
      </c>
      <c r="AR10" s="29">
        <v>0.48620000000000002</v>
      </c>
      <c r="AS10" s="29">
        <v>0.5</v>
      </c>
      <c r="AT10" s="29"/>
      <c r="AU10" s="29"/>
      <c r="AV10" s="29"/>
      <c r="AW10" s="2"/>
      <c r="AX10" s="2"/>
      <c r="AZ10" s="29">
        <v>0.46990000000000004</v>
      </c>
      <c r="BA10" s="29">
        <v>0.44879999999999998</v>
      </c>
      <c r="BB10" s="29">
        <v>0.50780000000000003</v>
      </c>
      <c r="BC10" s="29">
        <v>0.47060000000000002</v>
      </c>
      <c r="BD10" s="29">
        <v>0.46920000000000001</v>
      </c>
      <c r="BE10" s="29">
        <v>0.47489999999999999</v>
      </c>
      <c r="BF10" s="29">
        <v>0.52429999999999999</v>
      </c>
      <c r="BG10" s="29">
        <v>0.40920000000000001</v>
      </c>
      <c r="BH10" s="24"/>
      <c r="BI10" s="29">
        <v>0.2487</v>
      </c>
    </row>
    <row r="11" spans="1:61" ht="15.75" x14ac:dyDescent="0.3">
      <c r="A11" s="23" t="s">
        <v>213</v>
      </c>
      <c r="B11" s="16"/>
      <c r="C11" s="29">
        <v>0.35</v>
      </c>
      <c r="D11" s="29">
        <v>0.4</v>
      </c>
      <c r="E11" s="29">
        <v>0.41</v>
      </c>
      <c r="F11" s="29">
        <v>0.43</v>
      </c>
      <c r="G11" s="29">
        <v>0.42</v>
      </c>
      <c r="H11" s="29">
        <v>0.46</v>
      </c>
      <c r="I11" s="29">
        <v>0.45</v>
      </c>
      <c r="J11" s="29">
        <v>0.44</v>
      </c>
      <c r="K11" s="29">
        <v>0.41</v>
      </c>
      <c r="L11" s="29">
        <v>0.4</v>
      </c>
      <c r="M11" s="29">
        <v>0.41</v>
      </c>
      <c r="N11" s="29">
        <v>0.34</v>
      </c>
      <c r="O11" s="29">
        <v>0.34</v>
      </c>
      <c r="P11" s="29">
        <v>0.33</v>
      </c>
      <c r="Q11" s="29">
        <v>0.32</v>
      </c>
      <c r="R11" s="29">
        <v>0.34</v>
      </c>
      <c r="S11" s="29">
        <v>0.27</v>
      </c>
      <c r="T11" s="29">
        <v>0.3</v>
      </c>
      <c r="U11" s="29">
        <v>0.17</v>
      </c>
      <c r="V11" s="29">
        <v>0.24</v>
      </c>
      <c r="W11" s="29">
        <v>0.35</v>
      </c>
      <c r="X11" s="29">
        <v>0.33</v>
      </c>
      <c r="Y11" s="29">
        <v>0.39</v>
      </c>
      <c r="Z11" s="29">
        <v>0.37</v>
      </c>
      <c r="AA11" s="29">
        <v>0.38</v>
      </c>
      <c r="AB11" s="29">
        <v>0.31</v>
      </c>
      <c r="AC11" s="29">
        <v>9.3006018094825255E-2</v>
      </c>
      <c r="AD11" s="29">
        <v>0.18945523229948361</v>
      </c>
      <c r="AE11" s="29">
        <v>0.31878054861814475</v>
      </c>
      <c r="AF11" s="29">
        <v>0.28760000000000002</v>
      </c>
      <c r="AG11" s="29">
        <v>0.2923</v>
      </c>
      <c r="AH11" s="29">
        <v>0.32740000000000002</v>
      </c>
      <c r="AI11" s="29">
        <v>0.32700000000000001</v>
      </c>
      <c r="AJ11" s="29">
        <v>0.3639</v>
      </c>
      <c r="AK11" s="29">
        <v>5.0968971212644425E-2</v>
      </c>
      <c r="AL11" s="29">
        <v>0.20680000000000001</v>
      </c>
      <c r="AM11" s="29">
        <v>0.2114</v>
      </c>
      <c r="AN11" s="29"/>
      <c r="AO11" s="29">
        <v>1.2787009318478015E-2</v>
      </c>
      <c r="AP11" s="29">
        <v>0.34060000000000001</v>
      </c>
      <c r="AQ11" s="29"/>
      <c r="AR11" s="29">
        <v>0.31319999999999998</v>
      </c>
      <c r="AS11" s="29">
        <v>0.38</v>
      </c>
      <c r="AT11" s="29"/>
      <c r="AU11" s="29"/>
      <c r="AV11" s="29"/>
      <c r="AW11" s="2"/>
      <c r="AX11" s="2"/>
      <c r="AZ11" s="29">
        <v>0.32329999999999998</v>
      </c>
      <c r="BA11" s="29">
        <v>0.28760000000000002</v>
      </c>
      <c r="BB11" s="29">
        <v>0.2923</v>
      </c>
      <c r="BC11" s="29">
        <v>0.32740000000000002</v>
      </c>
      <c r="BD11" s="29">
        <v>0.32700000000000001</v>
      </c>
      <c r="BE11" s="29">
        <v>0.33200000000000002</v>
      </c>
      <c r="BF11" s="29">
        <v>0.36959999999999998</v>
      </c>
      <c r="BG11" s="29">
        <v>4.5900000000000003E-2</v>
      </c>
      <c r="BH11" s="24"/>
      <c r="BI11" s="29">
        <v>2.0899999999999998E-2</v>
      </c>
    </row>
    <row r="12" spans="1:61" ht="15.75" x14ac:dyDescent="0.3">
      <c r="A12" s="23" t="s">
        <v>214</v>
      </c>
      <c r="B12" s="16"/>
      <c r="C12" s="29">
        <v>0.7</v>
      </c>
      <c r="D12" s="29">
        <v>0.72</v>
      </c>
      <c r="E12" s="29">
        <v>0.76</v>
      </c>
      <c r="F12" s="29">
        <v>0.78</v>
      </c>
      <c r="G12" s="29">
        <v>0.74</v>
      </c>
      <c r="H12" s="29">
        <v>0.78</v>
      </c>
      <c r="I12" s="29">
        <v>0.74</v>
      </c>
      <c r="J12" s="29">
        <v>0.77</v>
      </c>
      <c r="K12" s="29">
        <v>0.76</v>
      </c>
      <c r="L12" s="29">
        <v>0.73</v>
      </c>
      <c r="M12" s="29">
        <v>0.73</v>
      </c>
      <c r="N12" s="29">
        <v>0.68</v>
      </c>
      <c r="O12" s="29">
        <v>0.71</v>
      </c>
      <c r="P12" s="29">
        <v>0.69</v>
      </c>
      <c r="Q12" s="29">
        <v>0.71</v>
      </c>
      <c r="R12" s="29">
        <v>0.72</v>
      </c>
      <c r="S12" s="29">
        <v>0.5</v>
      </c>
      <c r="T12" s="29">
        <v>0.59</v>
      </c>
      <c r="U12" s="29">
        <v>0.39</v>
      </c>
      <c r="V12" s="29">
        <v>0.46</v>
      </c>
      <c r="W12" s="29">
        <v>0.68</v>
      </c>
      <c r="X12" s="29">
        <v>0.68</v>
      </c>
      <c r="Y12" s="29">
        <v>0.74</v>
      </c>
      <c r="Z12" s="29">
        <v>0.72</v>
      </c>
      <c r="AA12" s="29">
        <v>0.74</v>
      </c>
      <c r="AB12" s="29">
        <v>0.69</v>
      </c>
      <c r="AC12" s="29">
        <v>0.390595889690113</v>
      </c>
      <c r="AD12" s="29">
        <v>0.54467607420204756</v>
      </c>
      <c r="AE12" s="29">
        <v>0.68744232237011527</v>
      </c>
      <c r="AF12" s="29">
        <v>0.64600000000000002</v>
      </c>
      <c r="AG12" s="29">
        <v>0.65910000000000002</v>
      </c>
      <c r="AH12" s="29">
        <v>0.68369999999999997</v>
      </c>
      <c r="AI12" s="29">
        <v>0.69889999999999997</v>
      </c>
      <c r="AJ12" s="29">
        <v>0.74764999999999993</v>
      </c>
      <c r="AK12" s="29">
        <v>0.42395933328504426</v>
      </c>
      <c r="AL12" s="29">
        <v>0.61209999999999998</v>
      </c>
      <c r="AM12" s="29">
        <v>0.63029999999999997</v>
      </c>
      <c r="AN12" s="29"/>
      <c r="AO12" s="29">
        <v>0.16654875126032506</v>
      </c>
      <c r="AP12" s="29">
        <v>0.69769999999999999</v>
      </c>
      <c r="AQ12" s="29"/>
      <c r="AR12" s="29">
        <v>0.66839999999999999</v>
      </c>
      <c r="AS12" s="29">
        <v>0.72</v>
      </c>
      <c r="AT12" s="29"/>
      <c r="AU12" s="29"/>
      <c r="AV12" s="29"/>
      <c r="AW12" s="2"/>
      <c r="AX12" s="2"/>
      <c r="AZ12" s="29">
        <v>0.69120000000000004</v>
      </c>
      <c r="BA12" s="29">
        <v>0.64600000000000002</v>
      </c>
      <c r="BB12" s="29">
        <v>0.65910000000000002</v>
      </c>
      <c r="BC12" s="29">
        <v>0.68369999999999997</v>
      </c>
      <c r="BD12" s="29">
        <v>0.69889999999999997</v>
      </c>
      <c r="BE12" s="29">
        <v>0.68740000000000001</v>
      </c>
      <c r="BF12" s="29">
        <v>0.75229999999999997</v>
      </c>
      <c r="BG12" s="29">
        <v>0.39660000000000001</v>
      </c>
      <c r="BH12" s="24"/>
      <c r="BI12" s="29">
        <v>8.6699999999999999E-2</v>
      </c>
    </row>
    <row r="13" spans="1:61" ht="15.75" x14ac:dyDescent="0.3">
      <c r="A13" s="23" t="s">
        <v>215</v>
      </c>
      <c r="B13" s="16"/>
      <c r="C13" s="29">
        <v>0.56000000000000005</v>
      </c>
      <c r="D13" s="29">
        <v>0.61</v>
      </c>
      <c r="E13" s="29">
        <v>0.72</v>
      </c>
      <c r="F13" s="29">
        <v>0.78</v>
      </c>
      <c r="G13" s="29">
        <v>0.72</v>
      </c>
      <c r="H13" s="29">
        <v>0.78</v>
      </c>
      <c r="I13" s="29">
        <v>0.77</v>
      </c>
      <c r="J13" s="29">
        <v>0.75</v>
      </c>
      <c r="K13" s="29">
        <v>0.65</v>
      </c>
      <c r="L13" s="29">
        <v>0.68</v>
      </c>
      <c r="M13" s="29">
        <v>0.62</v>
      </c>
      <c r="N13" s="29" t="s">
        <v>155</v>
      </c>
      <c r="O13" s="29" t="s">
        <v>155</v>
      </c>
      <c r="P13" s="29" t="s">
        <v>155</v>
      </c>
      <c r="Q13" s="29" t="s">
        <v>155</v>
      </c>
      <c r="R13" s="29" t="s">
        <v>155</v>
      </c>
      <c r="S13" s="29">
        <v>0.46</v>
      </c>
      <c r="T13" s="29">
        <v>0.52</v>
      </c>
      <c r="U13" s="29">
        <v>0.36</v>
      </c>
      <c r="V13" s="29">
        <v>0.66</v>
      </c>
      <c r="W13" s="29">
        <v>0.57059740215745569</v>
      </c>
      <c r="X13" s="29">
        <v>0.69221865524317283</v>
      </c>
      <c r="Y13" s="29">
        <v>0.72937091868027182</v>
      </c>
      <c r="Z13" s="29">
        <v>0.73551587784178862</v>
      </c>
      <c r="AA13" s="29">
        <v>0.72917579602815419</v>
      </c>
      <c r="AB13" s="29">
        <v>0.57059740215745569</v>
      </c>
      <c r="AC13" s="29">
        <v>0.28566839172930092</v>
      </c>
      <c r="AD13" s="29"/>
      <c r="AE13" s="29">
        <v>0.58933500536698125</v>
      </c>
      <c r="AF13" s="29">
        <v>0.61152864364968362</v>
      </c>
      <c r="AG13" s="29">
        <v>0.53631777527663138</v>
      </c>
      <c r="AH13" s="29">
        <v>0.55265656670838403</v>
      </c>
      <c r="AI13" s="29">
        <v>0.60899999999999999</v>
      </c>
      <c r="AJ13" s="29">
        <v>0.67065502067830263</v>
      </c>
      <c r="AK13" s="29">
        <v>0.22811337851362606</v>
      </c>
      <c r="AL13" s="29">
        <v>0.46637343179286012</v>
      </c>
      <c r="AM13" s="29">
        <v>0.51835357809096549</v>
      </c>
      <c r="AN13" s="29"/>
      <c r="AO13" s="29">
        <v>4.528055975456978E-2</v>
      </c>
      <c r="AP13" s="29">
        <v>0.63380251113987474</v>
      </c>
      <c r="AQ13" s="29"/>
      <c r="AR13" s="29">
        <v>0.52431418198416668</v>
      </c>
      <c r="AS13" s="29">
        <v>0.56999999999999995</v>
      </c>
      <c r="AT13" s="29"/>
      <c r="AU13" s="29"/>
      <c r="AV13" s="29"/>
      <c r="AW13" s="2"/>
      <c r="AX13" s="2"/>
      <c r="AZ13" s="29">
        <v>0.58979999999999999</v>
      </c>
      <c r="BA13" s="29">
        <v>0.61160000000000003</v>
      </c>
      <c r="BB13" s="29">
        <v>0.32700000000000001</v>
      </c>
      <c r="BC13" s="29">
        <v>0.55279999999999996</v>
      </c>
      <c r="BD13" s="29">
        <v>0.60899999999999999</v>
      </c>
      <c r="BE13" s="29">
        <v>0.63100000000000001</v>
      </c>
      <c r="BF13" s="29">
        <v>0.67069999999999996</v>
      </c>
      <c r="BG13" s="29">
        <v>0.2283</v>
      </c>
      <c r="BH13" s="24"/>
      <c r="BI13" s="29">
        <v>4.53E-2</v>
      </c>
    </row>
    <row r="14" spans="1:61" ht="15.75" x14ac:dyDescent="0.3">
      <c r="A14" s="23" t="s">
        <v>216</v>
      </c>
      <c r="B14" s="16" t="s">
        <v>18</v>
      </c>
      <c r="C14" s="24">
        <v>-1.7499999999999999E-10</v>
      </c>
      <c r="D14" s="24">
        <v>-1.8999999999999999E-10</v>
      </c>
      <c r="E14" s="24">
        <v>-2.7E-10</v>
      </c>
      <c r="F14" s="24">
        <v>-3.1999999999999998E-10</v>
      </c>
      <c r="G14" s="24">
        <v>-2.2900000000000001E-10</v>
      </c>
      <c r="H14" s="24">
        <v>-3E-10</v>
      </c>
      <c r="I14" s="24">
        <v>-2.7E-10</v>
      </c>
      <c r="J14" s="24">
        <v>-3.2500000000000002E-10</v>
      </c>
      <c r="K14" s="24">
        <v>-3.6E-10</v>
      </c>
      <c r="L14" s="24">
        <v>-3.7000000000000001E-10</v>
      </c>
      <c r="M14" s="24">
        <v>-2.1E-10</v>
      </c>
      <c r="N14" s="24">
        <v>-1.2400000000000001E-10</v>
      </c>
      <c r="O14" s="24">
        <v>-1.1955596605760197E-10</v>
      </c>
      <c r="P14" s="24">
        <v>-1.2299999999999999E-10</v>
      </c>
      <c r="Q14" s="24">
        <v>-1.2500000000000001E-10</v>
      </c>
      <c r="R14" s="24">
        <v>-1.51E-10</v>
      </c>
      <c r="S14" s="24">
        <v>-9.4999999999999995E-11</v>
      </c>
      <c r="T14" s="24">
        <v>-1.4800000000000001E-10</v>
      </c>
      <c r="U14" s="24">
        <v>-5.0000000000000002E-11</v>
      </c>
      <c r="V14" s="24">
        <v>-5.4999999999999997E-11</v>
      </c>
      <c r="W14" s="24">
        <v>-1.3300000000000001E-10</v>
      </c>
      <c r="X14" s="24">
        <v>-1.2999999999999999E-10</v>
      </c>
      <c r="Y14" s="24">
        <v>-2.0800000000000001E-10</v>
      </c>
      <c r="Z14" s="24">
        <v>-3.1999999999999998E-10</v>
      </c>
      <c r="AA14" s="24">
        <v>-2.5000000000000002E-10</v>
      </c>
      <c r="AB14" s="24">
        <v>-9.7999999999999998E-11</v>
      </c>
      <c r="AC14" s="24">
        <v>-2.0576235666772575E-11</v>
      </c>
      <c r="AD14" s="24">
        <v>-5.5583040031444257E-11</v>
      </c>
      <c r="AE14" s="24">
        <v>-2.3486211183459834E-10</v>
      </c>
      <c r="AF14" s="24">
        <v>-1.275845E-10</v>
      </c>
      <c r="AG14" s="24">
        <v>-5.7970599999999999E-11</v>
      </c>
      <c r="AH14" s="24">
        <v>-1.2778790000000001E-10</v>
      </c>
      <c r="AI14" s="24">
        <v>-1.6999150000000001E-10</v>
      </c>
      <c r="AJ14" s="24">
        <v>-2.3672304999999997E-10</v>
      </c>
      <c r="AK14" s="24">
        <v>-6.051877753104056E-12</v>
      </c>
      <c r="AL14" s="24">
        <v>-7.9048300000000002E-11</v>
      </c>
      <c r="AM14" s="24">
        <v>-1.043328E-10</v>
      </c>
      <c r="AN14" s="24"/>
      <c r="AO14" s="24">
        <v>-1.3226244522270324E-12</v>
      </c>
      <c r="AP14" s="24">
        <v>-2.011684E-10</v>
      </c>
      <c r="AQ14" s="24"/>
      <c r="AR14" s="24">
        <v>-1.017785E-10</v>
      </c>
      <c r="AS14" s="24">
        <v>-3.0499999999999998E-10</v>
      </c>
      <c r="AT14" s="24"/>
      <c r="AU14" s="24"/>
      <c r="AV14" s="24"/>
      <c r="AW14" s="1"/>
      <c r="AX14" s="1"/>
      <c r="AZ14" s="24">
        <v>-2.5917669999999996E-10</v>
      </c>
      <c r="BA14" s="24">
        <v>-1.275845E-10</v>
      </c>
      <c r="BB14" s="24">
        <v>-5.7970599999999999E-11</v>
      </c>
      <c r="BC14" s="24">
        <v>-1.2778790000000001E-10</v>
      </c>
      <c r="BD14" s="24">
        <v>-1.6999150000000001E-10</v>
      </c>
      <c r="BE14" s="24">
        <v>-1.1408360000000001E-10</v>
      </c>
      <c r="BF14" s="24">
        <v>-2.429248E-10</v>
      </c>
      <c r="BG14" s="24">
        <v>-5.3302E-12</v>
      </c>
      <c r="BH14" s="24"/>
      <c r="BI14" s="24">
        <v>-2.2575E-12</v>
      </c>
    </row>
    <row r="15" spans="1:61" ht="15.75" x14ac:dyDescent="0.3">
      <c r="A15" s="23" t="s">
        <v>217</v>
      </c>
      <c r="B15" s="16" t="s">
        <v>18</v>
      </c>
      <c r="C15" s="24">
        <v>3.4999999999999998E-10</v>
      </c>
      <c r="D15" s="24">
        <v>3.9E-10</v>
      </c>
      <c r="E15" s="24">
        <v>5.3000000000000003E-10</v>
      </c>
      <c r="F15" s="24">
        <v>6.5000000000000003E-10</v>
      </c>
      <c r="G15" s="24">
        <v>4.35E-10</v>
      </c>
      <c r="H15" s="24">
        <v>6E-10</v>
      </c>
      <c r="I15" s="24">
        <v>4.8499999999999998E-10</v>
      </c>
      <c r="J15" s="24">
        <v>6.3999999999999996E-10</v>
      </c>
      <c r="K15" s="24">
        <v>7.2999999999999996E-10</v>
      </c>
      <c r="L15" s="24">
        <v>7.5E-10</v>
      </c>
      <c r="M15" s="24">
        <v>4.0999999999999998E-10</v>
      </c>
      <c r="N15" s="24">
        <v>2.3000000000000001E-10</v>
      </c>
      <c r="O15" s="24">
        <v>2.8799999999999999E-10</v>
      </c>
      <c r="P15" s="24">
        <v>2.85E-10</v>
      </c>
      <c r="Q15" s="24">
        <v>3.1999999999999998E-10</v>
      </c>
      <c r="R15" s="24">
        <v>3.7999999999999998E-10</v>
      </c>
      <c r="S15" s="24">
        <v>1.8E-10</v>
      </c>
      <c r="T15" s="24">
        <v>3E-10</v>
      </c>
      <c r="U15" s="24">
        <v>1.2E-10</v>
      </c>
      <c r="V15" s="24">
        <v>1.0999999999999999E-10</v>
      </c>
      <c r="W15" s="24">
        <v>3.0399999999999998E-10</v>
      </c>
      <c r="X15" s="24">
        <v>3.1000000000000002E-10</v>
      </c>
      <c r="Y15" s="24">
        <v>4.4300000000000002E-10</v>
      </c>
      <c r="Z15" s="24">
        <v>6.9399999999999998E-10</v>
      </c>
      <c r="AA15" s="24">
        <v>5.7999999999999996E-10</v>
      </c>
      <c r="AB15" s="24">
        <v>2.55E-10</v>
      </c>
      <c r="AC15" s="24">
        <v>1.0699999999999999E-10</v>
      </c>
      <c r="AD15" s="24">
        <v>1.517E-10</v>
      </c>
      <c r="AE15" s="24">
        <v>5.98E-10</v>
      </c>
      <c r="AF15" s="24">
        <v>3.28E-10</v>
      </c>
      <c r="AG15" s="24">
        <v>1.4929999999999999E-10</v>
      </c>
      <c r="AH15" s="24">
        <v>3.28E-10</v>
      </c>
      <c r="AI15" s="24">
        <v>4.2499999999999998E-10</v>
      </c>
      <c r="AJ15" s="24">
        <v>5.7299999999999999E-10</v>
      </c>
      <c r="AK15" s="24">
        <v>5.01E-11</v>
      </c>
      <c r="AL15" s="24">
        <v>2.8300000000000001E-10</v>
      </c>
      <c r="AM15" s="24">
        <v>3.89E-10</v>
      </c>
      <c r="AN15" s="24">
        <v>4.8E-10</v>
      </c>
      <c r="AO15" s="24">
        <v>1.8571173087180477E-11</v>
      </c>
      <c r="AP15" s="24">
        <v>4.79E-10</v>
      </c>
      <c r="AQ15" s="24">
        <v>2.7E-10</v>
      </c>
      <c r="AR15" s="24">
        <v>2.6300000000000002E-10</v>
      </c>
      <c r="AS15" s="24">
        <v>6.3999999999999996E-10</v>
      </c>
      <c r="AT15" s="24"/>
      <c r="AU15" s="24"/>
      <c r="AV15" s="24"/>
      <c r="AW15" s="1"/>
      <c r="AX15" s="1"/>
      <c r="AZ15" s="24">
        <v>6.3999999999999996E-10</v>
      </c>
      <c r="BA15" s="24">
        <v>3.28E-10</v>
      </c>
      <c r="BB15" s="24">
        <v>1.4929999999999999E-10</v>
      </c>
      <c r="BC15" s="24">
        <v>3.28E-10</v>
      </c>
      <c r="BD15" s="24">
        <v>4.2499999999999998E-10</v>
      </c>
      <c r="BE15" s="24">
        <v>2.7499999999999998E-10</v>
      </c>
      <c r="BF15" s="24">
        <v>5.7399999999999998E-10</v>
      </c>
      <c r="BG15" s="24">
        <v>4.6000000000000003E-11</v>
      </c>
      <c r="BH15" s="24"/>
      <c r="BI15" s="24">
        <v>1.9100000000000001E-11</v>
      </c>
    </row>
    <row r="16" spans="1:61" ht="15.75" x14ac:dyDescent="0.3">
      <c r="A16" s="23" t="s">
        <v>218</v>
      </c>
      <c r="B16" s="16" t="s">
        <v>18</v>
      </c>
      <c r="C16" s="24">
        <v>3.6E-10</v>
      </c>
      <c r="D16" s="24">
        <v>4.6000000000000001E-10</v>
      </c>
      <c r="E16" s="24">
        <v>7.8999999999999996E-10</v>
      </c>
      <c r="F16" s="24">
        <v>1.0000000000000001E-9</v>
      </c>
      <c r="G16" s="24">
        <v>6.2500000000000001E-10</v>
      </c>
      <c r="H16" s="24">
        <v>1.0000000000000001E-9</v>
      </c>
      <c r="I16" s="24">
        <v>8.4999999999999996E-10</v>
      </c>
      <c r="J16" s="24">
        <v>8.7999999999999996E-10</v>
      </c>
      <c r="K16" s="24">
        <v>8.4999999999999996E-10</v>
      </c>
      <c r="L16" s="24">
        <v>8.9999999999999999E-10</v>
      </c>
      <c r="M16" s="24">
        <v>5.0000000000000003E-10</v>
      </c>
      <c r="N16" s="24" t="s">
        <v>155</v>
      </c>
      <c r="O16" s="24" t="s">
        <v>155</v>
      </c>
      <c r="P16" s="24" t="s">
        <v>155</v>
      </c>
      <c r="Q16" s="24" t="s">
        <v>155</v>
      </c>
      <c r="R16" s="24" t="s">
        <v>155</v>
      </c>
      <c r="S16" s="24">
        <v>2.5999999999999998E-10</v>
      </c>
      <c r="T16" s="24">
        <v>3.7000000000000001E-10</v>
      </c>
      <c r="U16" s="24">
        <v>1.8999999999999999E-10</v>
      </c>
      <c r="V16" s="24">
        <v>3E-10</v>
      </c>
      <c r="W16" s="24">
        <v>4.7400000000000002E-10</v>
      </c>
      <c r="X16" s="24">
        <v>4.5499999999999998E-10</v>
      </c>
      <c r="Y16" s="24">
        <v>6.6899999999999996E-10</v>
      </c>
      <c r="Z16" s="24">
        <v>9.5000000000000003E-10</v>
      </c>
      <c r="AA16" s="24"/>
      <c r="AB16" s="24">
        <v>3.7999999999999998E-10</v>
      </c>
      <c r="AC16" s="24">
        <v>9.4725717135316442E-11</v>
      </c>
      <c r="AD16" s="24"/>
      <c r="AE16" s="24">
        <v>6.1593320908295613E-10</v>
      </c>
      <c r="AF16" s="24">
        <v>4.2110080000000002E-10</v>
      </c>
      <c r="AG16" s="24">
        <v>2.4689881010277861E-10</v>
      </c>
      <c r="AH16" s="24">
        <v>3.27185819557857E-10</v>
      </c>
      <c r="AI16" s="24">
        <v>5.0596340000000003E-10</v>
      </c>
      <c r="AJ16" s="24">
        <v>7.2432432432432431E-10</v>
      </c>
      <c r="AK16" s="24">
        <v>4.3317385467937903E-11</v>
      </c>
      <c r="AL16" s="24">
        <v>2.6861072480916001E-10</v>
      </c>
      <c r="AM16" s="24">
        <v>4.1907226675944102E-10</v>
      </c>
      <c r="AN16" s="24"/>
      <c r="AO16" s="24">
        <v>7.7881999999999995E-12</v>
      </c>
      <c r="AP16" s="24">
        <v>5.809238843057399E-10</v>
      </c>
      <c r="AQ16" s="24"/>
      <c r="AR16" s="24">
        <v>3.0842029903755798E-10</v>
      </c>
      <c r="AS16" s="24">
        <v>5.5400000000000005E-10</v>
      </c>
      <c r="AT16" s="24"/>
      <c r="AU16" s="24"/>
      <c r="AV16" s="24"/>
      <c r="AW16" s="1"/>
      <c r="AX16" s="1"/>
      <c r="AZ16" s="24">
        <v>6.1593570000000002E-10</v>
      </c>
      <c r="BA16" s="24">
        <v>4.2110080000000002E-10</v>
      </c>
      <c r="BB16" s="24">
        <v>1.5055470000000001E-10</v>
      </c>
      <c r="BC16" s="24">
        <v>3.2718739999999998E-10</v>
      </c>
      <c r="BD16" s="24">
        <v>5.0596340000000003E-10</v>
      </c>
      <c r="BE16" s="24">
        <v>4.0255680000000002E-10</v>
      </c>
      <c r="BF16" s="24">
        <v>7.2399999999999998E-10</v>
      </c>
      <c r="BG16" s="24">
        <v>4.33182E-11</v>
      </c>
      <c r="BH16" s="24"/>
      <c r="BI16" s="24">
        <v>7.7881999999999995E-12</v>
      </c>
    </row>
    <row r="17" spans="1:61" ht="15.75" x14ac:dyDescent="0.3">
      <c r="A17" s="23" t="s">
        <v>219</v>
      </c>
      <c r="B17" s="16" t="s">
        <v>19</v>
      </c>
      <c r="C17" s="25">
        <v>-1.0999999999999999E-2</v>
      </c>
      <c r="D17" s="25">
        <v>-1.1300000000000001E-2</v>
      </c>
      <c r="E17" s="25">
        <v>-9.4000000000000004E-3</v>
      </c>
      <c r="F17" s="25">
        <v>-9.4999999999999998E-3</v>
      </c>
      <c r="G17" s="25">
        <v>-1.2622295714482569E-2</v>
      </c>
      <c r="H17" s="25">
        <v>-9.8000000000000014E-3</v>
      </c>
      <c r="I17" s="25">
        <v>-1.1512631915574032E-2</v>
      </c>
      <c r="J17" s="25">
        <v>-8.9568692297092457E-3</v>
      </c>
      <c r="K17" s="25">
        <v>-7.0999999999999995E-3</v>
      </c>
      <c r="L17" s="25">
        <v>-6.4000000000000003E-3</v>
      </c>
      <c r="M17" s="25">
        <v>-1.1864406779661017E-2</v>
      </c>
      <c r="N17" s="25">
        <v>-1.4011299435028249E-2</v>
      </c>
      <c r="O17" s="25">
        <v>-1.2281044279157882E-2</v>
      </c>
      <c r="P17" s="25">
        <v>-1.1118644067796611E-2</v>
      </c>
      <c r="Q17" s="25">
        <v>-1.0864841373315949E-2</v>
      </c>
      <c r="R17" s="25">
        <v>-1.0663841807909604E-2</v>
      </c>
      <c r="S17" s="25">
        <v>-8.0999999999999996E-3</v>
      </c>
      <c r="T17" s="25">
        <v>-7.7000000000000002E-3</v>
      </c>
      <c r="U17" s="25">
        <v>-5.1000000000000004E-3</v>
      </c>
      <c r="V17" s="25">
        <v>-9.4000000000000004E-3</v>
      </c>
      <c r="W17" s="25">
        <v>-1.2E-2</v>
      </c>
      <c r="X17" s="25">
        <v>-1.0999999999999999E-2</v>
      </c>
      <c r="Y17" s="25">
        <v>-1.24E-2</v>
      </c>
      <c r="Z17" s="25">
        <v>-7.0000000000000001E-3</v>
      </c>
      <c r="AA17" s="25">
        <v>-8.9999999999999993E-3</v>
      </c>
      <c r="AB17" s="25">
        <v>-1.0699999999999999E-2</v>
      </c>
      <c r="AC17" s="25">
        <v>-3.5218989349428548E-3</v>
      </c>
      <c r="AD17" s="25">
        <v>-7.7193213291162806E-3</v>
      </c>
      <c r="AE17" s="25">
        <v>-7.1748729411897317E-3</v>
      </c>
      <c r="AF17" s="25">
        <v>-9.5987999999999993E-3</v>
      </c>
      <c r="AG17" s="25">
        <v>-1.54089E-2</v>
      </c>
      <c r="AH17" s="25">
        <v>-1.09024E-2</v>
      </c>
      <c r="AI17" s="25">
        <v>-1.06645E-2</v>
      </c>
      <c r="AJ17" s="25">
        <v>-9.4340499999999994E-3</v>
      </c>
      <c r="AK17" s="25">
        <v>-3.1117229857732195E-3</v>
      </c>
      <c r="AL17" s="25">
        <v>-1.0481900000000001E-2</v>
      </c>
      <c r="AM17" s="25">
        <v>-1.0265E-2</v>
      </c>
      <c r="AN17" s="25"/>
      <c r="AO17" s="25">
        <v>-1.3168221027383721E-3</v>
      </c>
      <c r="AP17" s="25">
        <v>-7.9354000000000004E-3</v>
      </c>
      <c r="AQ17" s="25"/>
      <c r="AR17" s="25">
        <v>-1.04613E-2</v>
      </c>
      <c r="AS17" s="25">
        <v>-7.1999999999999998E-3</v>
      </c>
      <c r="AT17" s="25"/>
      <c r="AU17" s="25"/>
      <c r="AV17" s="25"/>
      <c r="AW17" s="4"/>
      <c r="AX17" s="4"/>
      <c r="AZ17" s="25">
        <v>-7.3562999999999996E-3</v>
      </c>
      <c r="BA17" s="25">
        <v>-9.5987999999999993E-3</v>
      </c>
      <c r="BB17" s="25">
        <v>-1.54089E-2</v>
      </c>
      <c r="BC17" s="25">
        <v>-1.09024E-2</v>
      </c>
      <c r="BD17" s="25">
        <v>-1.06645E-2</v>
      </c>
      <c r="BE17" s="25">
        <v>-1.30393E-2</v>
      </c>
      <c r="BF17" s="25">
        <v>-9.5589999999999998E-3</v>
      </c>
      <c r="BG17" s="25">
        <v>-2.8950999999999998E-3</v>
      </c>
      <c r="BH17" s="24"/>
      <c r="BI17" s="25">
        <v>-2.0577E-3</v>
      </c>
    </row>
    <row r="18" spans="1:61" ht="15.75" x14ac:dyDescent="0.3">
      <c r="A18" s="23" t="s">
        <v>220</v>
      </c>
      <c r="B18" s="16" t="s">
        <v>19</v>
      </c>
      <c r="C18" s="25">
        <v>2.4199999999999999E-2</v>
      </c>
      <c r="D18" s="25">
        <v>2.3199999999999998E-2</v>
      </c>
      <c r="E18" s="25">
        <v>1.84E-2</v>
      </c>
      <c r="F18" s="25">
        <v>1.9E-2</v>
      </c>
      <c r="G18" s="25">
        <v>2.3976849937990905E-2</v>
      </c>
      <c r="H18" s="25">
        <v>1.9699999999999999E-2</v>
      </c>
      <c r="I18" s="25">
        <v>2.068009807056817E-2</v>
      </c>
      <c r="J18" s="25">
        <v>1.7638142483119748E-2</v>
      </c>
      <c r="K18" s="25">
        <v>1.4500000000000001E-2</v>
      </c>
      <c r="L18" s="25">
        <v>1.2999999999999999E-2</v>
      </c>
      <c r="M18" s="25">
        <v>2.3163841807909605E-2</v>
      </c>
      <c r="N18" s="25">
        <v>2.598870056497175E-2</v>
      </c>
      <c r="O18" s="25">
        <v>2.9583975346687212E-2</v>
      </c>
      <c r="P18" s="25">
        <v>2.5762711864406779E-2</v>
      </c>
      <c r="Q18" s="25">
        <v>2.7813993915688832E-2</v>
      </c>
      <c r="R18" s="25">
        <v>2.6836158192090395E-2</v>
      </c>
      <c r="S18" s="25">
        <v>1.54E-2</v>
      </c>
      <c r="T18" s="25">
        <v>1.55E-2</v>
      </c>
      <c r="U18" s="25">
        <v>1.2E-2</v>
      </c>
      <c r="V18" s="25">
        <v>1.84E-2</v>
      </c>
      <c r="W18" s="25">
        <v>2.75E-2</v>
      </c>
      <c r="X18" s="25">
        <v>2.5999999999999999E-2</v>
      </c>
      <c r="Y18" s="25">
        <v>2.63E-2</v>
      </c>
      <c r="Z18" s="25">
        <v>1.6E-2</v>
      </c>
      <c r="AA18" s="25">
        <v>0.02</v>
      </c>
      <c r="AB18" s="25">
        <v>2.8000000000000001E-2</v>
      </c>
      <c r="AC18" s="25">
        <v>1.8314486290970548E-2</v>
      </c>
      <c r="AD18" s="25">
        <v>2.1067956070133509E-2</v>
      </c>
      <c r="AE18" s="25">
        <v>1.8268480962366107E-2</v>
      </c>
      <c r="AF18" s="25">
        <v>2.4676900000000002E-2</v>
      </c>
      <c r="AG18" s="25">
        <v>3.96846E-2</v>
      </c>
      <c r="AH18" s="25">
        <v>2.79837E-2</v>
      </c>
      <c r="AI18" s="25">
        <v>2.6662499999999999E-2</v>
      </c>
      <c r="AJ18" s="25">
        <v>2.2835800000000003E-2</v>
      </c>
      <c r="AK18" s="25">
        <v>2.5760157086331982E-2</v>
      </c>
      <c r="AL18" s="25">
        <v>3.7526299999999999E-2</v>
      </c>
      <c r="AM18" s="25">
        <v>3.82727E-2</v>
      </c>
      <c r="AN18" s="25">
        <v>3.0978089566727707E-2</v>
      </c>
      <c r="AO18" s="25">
        <v>1.8489701406776578E-2</v>
      </c>
      <c r="AP18" s="25">
        <v>1.88948E-2</v>
      </c>
      <c r="AQ18" s="25">
        <v>2.6749172734427708E-2</v>
      </c>
      <c r="AR18" s="25">
        <v>2.7032500000000001E-2</v>
      </c>
      <c r="AS18" s="25">
        <v>1.5100000000000001E-2</v>
      </c>
      <c r="AT18" s="25"/>
      <c r="AU18" s="25"/>
      <c r="AV18" s="25"/>
      <c r="AW18" s="4"/>
      <c r="AX18" s="4"/>
      <c r="AZ18" s="25">
        <v>1.56109E-2</v>
      </c>
      <c r="BA18" s="25">
        <v>2.4676900000000002E-2</v>
      </c>
      <c r="BB18" s="25">
        <v>3.96846E-2</v>
      </c>
      <c r="BC18" s="25">
        <v>2.79837E-2</v>
      </c>
      <c r="BD18" s="25">
        <v>2.6662499999999999E-2</v>
      </c>
      <c r="BE18" s="25">
        <v>3.1431300000000002E-2</v>
      </c>
      <c r="BF18" s="25">
        <v>2.2586700000000001E-2</v>
      </c>
      <c r="BG18" s="25">
        <v>2.4985500000000001E-2</v>
      </c>
      <c r="BH18" s="24"/>
      <c r="BI18" s="25">
        <v>1.74098E-2</v>
      </c>
    </row>
    <row r="19" spans="1:61" ht="15.75" x14ac:dyDescent="0.3">
      <c r="A19" s="23" t="s">
        <v>221</v>
      </c>
      <c r="B19" s="16" t="s">
        <v>19</v>
      </c>
      <c r="C19" s="25">
        <v>2.7100000000000003E-2</v>
      </c>
      <c r="D19" s="25">
        <v>3.2399999999999998E-2</v>
      </c>
      <c r="E19" s="25">
        <v>3.1899999999999998E-2</v>
      </c>
      <c r="F19" s="25">
        <v>3.5299999999999998E-2</v>
      </c>
      <c r="G19" s="25">
        <v>3.7169194171870354E-2</v>
      </c>
      <c r="H19" s="25">
        <v>3.1800000000000002E-2</v>
      </c>
      <c r="I19" s="25">
        <v>3.257978213708039E-2</v>
      </c>
      <c r="J19" s="25">
        <v>2.9074569663329698E-2</v>
      </c>
      <c r="K19" s="25">
        <v>1.6300000000000002E-2</v>
      </c>
      <c r="L19" s="25">
        <v>1.8800000000000001E-2</v>
      </c>
      <c r="M19" s="25">
        <v>3.3233632436025257E-2</v>
      </c>
      <c r="N19" s="25" t="s">
        <v>155</v>
      </c>
      <c r="O19" s="25" t="s">
        <v>155</v>
      </c>
      <c r="P19" s="25" t="s">
        <v>155</v>
      </c>
      <c r="Q19" s="25" t="s">
        <v>155</v>
      </c>
      <c r="R19" s="25" t="s">
        <v>155</v>
      </c>
      <c r="S19" s="25">
        <v>2.29E-2</v>
      </c>
      <c r="T19" s="25">
        <v>2.1600000000000001E-2</v>
      </c>
      <c r="U19" s="25">
        <v>1.72E-2</v>
      </c>
      <c r="V19" s="25">
        <v>4.3099999999999999E-2</v>
      </c>
      <c r="W19" s="25">
        <v>3.5700000000000003E-2</v>
      </c>
      <c r="X19" s="25">
        <v>3.6999999999999998E-2</v>
      </c>
      <c r="Y19" s="25">
        <v>3.8899999999999997E-2</v>
      </c>
      <c r="Z19" s="25">
        <v>1.9E-2</v>
      </c>
      <c r="AA19" s="25"/>
      <c r="AB19" s="25">
        <v>3.8300000000000001E-2</v>
      </c>
      <c r="AC19" s="25">
        <v>1.7736007081196124E-2</v>
      </c>
      <c r="AD19" s="25"/>
      <c r="AE19" s="25">
        <v>2.1447849356278734E-2</v>
      </c>
      <c r="AF19" s="25">
        <v>3.4610576770386099E-2</v>
      </c>
      <c r="AG19" s="25">
        <v>3.777189479818719E-2</v>
      </c>
      <c r="AH19" s="25">
        <v>3.0986657000841921E-2</v>
      </c>
      <c r="AI19" s="25">
        <v>3.181754232658663E-2</v>
      </c>
      <c r="AJ19" s="25">
        <v>3.3565534086642868E-2</v>
      </c>
      <c r="AK19" s="25">
        <v>2.0673704194239462E-2</v>
      </c>
      <c r="AL19" s="25">
        <v>3.614062907296741E-2</v>
      </c>
      <c r="AM19" s="25">
        <v>3.9025210972856571E-2</v>
      </c>
      <c r="AN19" s="25"/>
      <c r="AO19" s="25">
        <v>6.9004998731119786E-3</v>
      </c>
      <c r="AP19" s="25">
        <v>2.6875601264771738E-2</v>
      </c>
      <c r="AQ19" s="25"/>
      <c r="AR19" s="25">
        <v>2.2773758342393688E-2</v>
      </c>
      <c r="AS19" s="25">
        <v>1.5642321789032559E-2</v>
      </c>
      <c r="AT19" s="25"/>
      <c r="AU19" s="25"/>
      <c r="AV19" s="25"/>
      <c r="AW19" s="4"/>
      <c r="AX19" s="4"/>
      <c r="AZ19" s="25">
        <v>2.6799E-2</v>
      </c>
      <c r="BA19" s="25">
        <v>3.4275699999999999E-2</v>
      </c>
      <c r="BB19" s="25">
        <v>5.5093499999999997E-2</v>
      </c>
      <c r="BC19" s="25">
        <v>3.8885999999999997E-2</v>
      </c>
      <c r="BD19" s="25">
        <v>3.7326900000000003E-2</v>
      </c>
      <c r="BE19" s="25">
        <v>3.727598655646578E-2</v>
      </c>
      <c r="BF19" s="25">
        <v>3.2145800000000002E-2</v>
      </c>
      <c r="BG19" s="25">
        <v>2.7880700000000001E-2</v>
      </c>
      <c r="BH19" s="24"/>
      <c r="BI19" s="25">
        <v>1.9467600000000002E-2</v>
      </c>
    </row>
    <row r="20" spans="1:61" ht="15.75" x14ac:dyDescent="0.3">
      <c r="A20" s="23" t="s">
        <v>222</v>
      </c>
      <c r="B20" s="16" t="s">
        <v>223</v>
      </c>
      <c r="C20" s="26">
        <v>-6.4</v>
      </c>
      <c r="D20" s="26">
        <v>-6.8</v>
      </c>
      <c r="E20" s="26">
        <v>-10.199999999999999</v>
      </c>
      <c r="F20" s="26">
        <v>-12</v>
      </c>
      <c r="G20" s="26">
        <v>-10.6</v>
      </c>
      <c r="H20" s="26">
        <v>-12.5</v>
      </c>
      <c r="I20" s="26">
        <v>-14.3</v>
      </c>
      <c r="J20" s="26">
        <v>-14</v>
      </c>
      <c r="K20" s="26">
        <v>-15.8</v>
      </c>
      <c r="L20" s="26">
        <v>-16.5</v>
      </c>
      <c r="M20" s="26"/>
      <c r="N20" s="26">
        <v>-7.3</v>
      </c>
      <c r="O20" s="26"/>
      <c r="P20" s="26">
        <v>-8</v>
      </c>
      <c r="Q20" s="26">
        <v>-8.6999999999999993</v>
      </c>
      <c r="R20" s="26">
        <v>0.87171272193298677</v>
      </c>
      <c r="S20" s="26"/>
      <c r="T20" s="26"/>
      <c r="U20" s="26"/>
      <c r="V20" s="26"/>
      <c r="W20" s="26">
        <v>-4</v>
      </c>
      <c r="X20" s="26">
        <v>-4.57</v>
      </c>
      <c r="Y20" s="26">
        <v>-6.06</v>
      </c>
      <c r="Z20" s="26">
        <v>-13</v>
      </c>
      <c r="AA20" s="26">
        <v>-2.2165144596651487</v>
      </c>
      <c r="AB20" s="26">
        <v>-2.1</v>
      </c>
      <c r="AC20" s="26">
        <v>3.7991327589237605</v>
      </c>
      <c r="AD20" s="26">
        <v>-1.3621788117990246</v>
      </c>
      <c r="AE20" s="26">
        <v>-3.6950855003229321</v>
      </c>
      <c r="AF20" s="26">
        <v>-1.9349457902113514</v>
      </c>
      <c r="AG20" s="26">
        <v>-1.4535824882079176</v>
      </c>
      <c r="AH20" s="26">
        <v>-2.8011919079066132</v>
      </c>
      <c r="AI20" s="26">
        <v>-3.0874407739346665</v>
      </c>
      <c r="AJ20" s="26">
        <v>-4.2299995136568356</v>
      </c>
      <c r="AK20" s="26">
        <v>-0.43045257353954147</v>
      </c>
      <c r="AL20" s="26">
        <v>0.25298721885814146</v>
      </c>
      <c r="AM20" s="26">
        <v>1.1133767829912866</v>
      </c>
      <c r="AN20" s="26"/>
      <c r="AO20" s="26">
        <v>0.56521570516389064</v>
      </c>
      <c r="AP20" s="26">
        <v>-5.6083029236932802</v>
      </c>
      <c r="AQ20" s="26"/>
      <c r="AR20" s="26">
        <v>-2.3101445634907982</v>
      </c>
      <c r="AS20" s="26">
        <v>-12.4</v>
      </c>
      <c r="AT20" s="26"/>
      <c r="AU20" s="26"/>
      <c r="AV20" s="26"/>
      <c r="AW20" s="5"/>
      <c r="AX20" s="5"/>
      <c r="AZ20" s="26">
        <v>-2.9178923417222222</v>
      </c>
      <c r="BA20" s="26">
        <v>-1.9349457902113514</v>
      </c>
      <c r="BB20" s="26">
        <v>-1.4535824882079176</v>
      </c>
      <c r="BC20" s="26">
        <v>-2.8011919079066132</v>
      </c>
      <c r="BD20" s="26">
        <v>-3.0874407739346665</v>
      </c>
      <c r="BE20" s="26">
        <v>-3.6047737596056209</v>
      </c>
      <c r="BF20" s="26">
        <v>-5.0612031228246224</v>
      </c>
      <c r="BG20" s="26">
        <v>-0.34714950884500451</v>
      </c>
      <c r="BH20" s="24"/>
      <c r="BI20" s="26">
        <v>1.6058291300732179</v>
      </c>
    </row>
    <row r="21" spans="1:61" ht="15.75" x14ac:dyDescent="0.3">
      <c r="A21" s="23" t="s">
        <v>224</v>
      </c>
      <c r="B21" s="16" t="s">
        <v>223</v>
      </c>
      <c r="C21" s="27">
        <v>17</v>
      </c>
      <c r="D21" s="27">
        <v>17.399999999999999</v>
      </c>
      <c r="E21" s="27">
        <v>23.1</v>
      </c>
      <c r="F21" s="27">
        <v>23.6</v>
      </c>
      <c r="G21" s="27">
        <v>16.3</v>
      </c>
      <c r="H21" s="27">
        <v>22.2</v>
      </c>
      <c r="I21" s="27">
        <v>18.3</v>
      </c>
      <c r="J21" s="27">
        <v>24.5</v>
      </c>
      <c r="K21" s="27">
        <v>28.7</v>
      </c>
      <c r="L21" s="27">
        <v>30.3</v>
      </c>
      <c r="M21" s="27"/>
      <c r="N21" s="27">
        <v>13.4</v>
      </c>
      <c r="O21" s="27"/>
      <c r="P21" s="27">
        <v>13.6</v>
      </c>
      <c r="Q21" s="27">
        <v>13.4</v>
      </c>
      <c r="R21" s="27">
        <v>19.997330129488709</v>
      </c>
      <c r="S21" s="27"/>
      <c r="T21" s="27"/>
      <c r="U21" s="27"/>
      <c r="V21" s="27"/>
      <c r="W21" s="27">
        <v>14.4</v>
      </c>
      <c r="X21" s="27">
        <v>17.059999999999999</v>
      </c>
      <c r="Y21" s="27">
        <v>17.2</v>
      </c>
      <c r="Z21" s="27">
        <v>25</v>
      </c>
      <c r="AA21" s="27">
        <v>21.313488204703958</v>
      </c>
      <c r="AB21" s="27">
        <v>14.5</v>
      </c>
      <c r="AC21" s="27">
        <v>10.741849729802849</v>
      </c>
      <c r="AD21" s="27">
        <v>13.234115744901922</v>
      </c>
      <c r="AE21" s="27">
        <v>23.139713751940789</v>
      </c>
      <c r="AF21" s="27">
        <v>15.490600000000001</v>
      </c>
      <c r="AG21" s="27">
        <v>9.9314999999999998</v>
      </c>
      <c r="AH21" s="27">
        <v>14.6914</v>
      </c>
      <c r="AI21" s="27">
        <v>16.026399999999999</v>
      </c>
      <c r="AJ21" s="27">
        <v>21.250900000000001</v>
      </c>
      <c r="AK21" s="27">
        <v>6.9146723718077867</v>
      </c>
      <c r="AL21" s="27">
        <v>10.130800000000001</v>
      </c>
      <c r="AM21" s="27">
        <v>11.0341</v>
      </c>
      <c r="AN21" s="27"/>
      <c r="AO21" s="27">
        <v>1.8065597028827998</v>
      </c>
      <c r="AP21" s="27">
        <v>21.6067</v>
      </c>
      <c r="AQ21" s="27">
        <v>13.326270184818009</v>
      </c>
      <c r="AR21" s="27">
        <v>14.883599999999999</v>
      </c>
      <c r="AS21" s="27">
        <v>26.2</v>
      </c>
      <c r="AT21" s="27"/>
      <c r="AU21" s="27"/>
      <c r="AV21" s="27"/>
      <c r="AW21" s="6"/>
      <c r="AX21" s="6"/>
      <c r="AZ21" s="27">
        <v>23.415900000000001</v>
      </c>
      <c r="BA21" s="27">
        <v>15.490600000000001</v>
      </c>
      <c r="BB21" s="27">
        <v>9.9314999999999998</v>
      </c>
      <c r="BC21" s="27">
        <v>14.6914</v>
      </c>
      <c r="BD21" s="27">
        <v>16.026399999999999</v>
      </c>
      <c r="BE21" s="27">
        <v>12.4339</v>
      </c>
      <c r="BF21" s="27">
        <v>21.1723</v>
      </c>
      <c r="BG21" s="27">
        <v>6.5221</v>
      </c>
      <c r="BH21" s="24"/>
      <c r="BI21" s="27">
        <v>2.6484000000000001</v>
      </c>
    </row>
    <row r="22" spans="1:61" ht="15.75" x14ac:dyDescent="0.3">
      <c r="A22" s="23" t="s">
        <v>225</v>
      </c>
      <c r="B22" s="16" t="s">
        <v>223</v>
      </c>
      <c r="C22" s="26">
        <v>9.7297297297297298</v>
      </c>
      <c r="D22" s="26">
        <v>11.5</v>
      </c>
      <c r="E22" s="26">
        <v>16.288659793814432</v>
      </c>
      <c r="F22" s="26">
        <v>19.083969465648856</v>
      </c>
      <c r="G22" s="26">
        <v>13.437500000000002</v>
      </c>
      <c r="H22" s="26">
        <v>18.518518518518519</v>
      </c>
      <c r="I22" s="26">
        <v>16.797815533980582</v>
      </c>
      <c r="J22" s="26">
        <v>19.172113289760347</v>
      </c>
      <c r="K22" s="26">
        <v>22.309711286089239</v>
      </c>
      <c r="L22" s="26">
        <v>21.739130434782609</v>
      </c>
      <c r="M22" s="26" t="s">
        <v>155</v>
      </c>
      <c r="N22" s="26" t="s">
        <v>155</v>
      </c>
      <c r="O22" s="26" t="s">
        <v>155</v>
      </c>
      <c r="P22" s="26" t="s">
        <v>155</v>
      </c>
      <c r="Q22" s="26" t="s">
        <v>155</v>
      </c>
      <c r="R22" s="26" t="s">
        <v>155</v>
      </c>
      <c r="S22" s="26"/>
      <c r="T22" s="26"/>
      <c r="U22" s="26"/>
      <c r="V22" s="26"/>
      <c r="W22" s="26">
        <v>11.9</v>
      </c>
      <c r="X22" s="26">
        <v>12.05</v>
      </c>
      <c r="Y22" s="26">
        <v>13.7</v>
      </c>
      <c r="Z22" s="26">
        <v>27</v>
      </c>
      <c r="AA22" s="26"/>
      <c r="AB22" s="26">
        <v>9.6999999999999993</v>
      </c>
      <c r="AC22" s="26">
        <v>4.6011726122800871</v>
      </c>
      <c r="AD22" s="26"/>
      <c r="AE22" s="26">
        <v>16.1935</v>
      </c>
      <c r="AF22" s="26">
        <v>10.805</v>
      </c>
      <c r="AG22" s="26">
        <v>7.6151</v>
      </c>
      <c r="AH22" s="26">
        <v>9.8567999999999998</v>
      </c>
      <c r="AI22" s="26">
        <v>11.6439</v>
      </c>
      <c r="AJ22" s="26">
        <v>13.4</v>
      </c>
      <c r="AK22" s="26">
        <v>2.5169999999999999</v>
      </c>
      <c r="AL22" s="26">
        <v>6.0182731585305715</v>
      </c>
      <c r="AM22" s="26">
        <v>6.8850475172726346</v>
      </c>
      <c r="AN22" s="26"/>
      <c r="AO22" s="26">
        <v>0.2971276182</v>
      </c>
      <c r="AP22" s="26">
        <v>14.94685157625711</v>
      </c>
      <c r="AQ22" s="26"/>
      <c r="AR22" s="26">
        <v>12.071145978482832</v>
      </c>
      <c r="AS22" s="26">
        <v>20.8</v>
      </c>
      <c r="AT22" s="26"/>
      <c r="AU22" s="26"/>
      <c r="AV22" s="26"/>
      <c r="AW22" s="5"/>
      <c r="AX22" s="5"/>
      <c r="AZ22" s="26">
        <v>16.1935</v>
      </c>
      <c r="BA22" s="26">
        <v>10.805</v>
      </c>
      <c r="BB22" s="26">
        <v>6.5538999999999996</v>
      </c>
      <c r="BC22" s="26">
        <v>9.8567999999999998</v>
      </c>
      <c r="BD22" s="26">
        <v>11.6439</v>
      </c>
      <c r="BE22" s="26">
        <v>10.673500000000001</v>
      </c>
      <c r="BF22" s="26">
        <v>13.4</v>
      </c>
      <c r="BG22" s="26">
        <v>2.5169999999999999</v>
      </c>
      <c r="BH22" s="24"/>
      <c r="BI22" s="26">
        <v>0.29709999999999998</v>
      </c>
    </row>
    <row r="23" spans="1:61" ht="15.75" x14ac:dyDescent="0.3">
      <c r="A23" s="23" t="s">
        <v>226</v>
      </c>
      <c r="B23" s="16" t="s">
        <v>20</v>
      </c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>
        <v>127611912.58650525</v>
      </c>
      <c r="S23" s="24"/>
      <c r="T23" s="24"/>
      <c r="U23" s="24"/>
      <c r="V23" s="24"/>
      <c r="W23" s="24">
        <v>-720000000</v>
      </c>
      <c r="X23" s="24">
        <v>-600000000</v>
      </c>
      <c r="Y23" s="24">
        <v>-831000000</v>
      </c>
      <c r="Z23" s="24">
        <v>-600000000</v>
      </c>
      <c r="AA23" s="24">
        <v>-194950988.24854445</v>
      </c>
      <c r="AB23" s="24">
        <v>-440000000</v>
      </c>
      <c r="AC23" s="24">
        <v>783433681.66504288</v>
      </c>
      <c r="AD23" s="24">
        <v>-270195023.33699036</v>
      </c>
      <c r="AE23" s="24">
        <v>-215321848.4877058</v>
      </c>
      <c r="AF23" s="24">
        <v>-250389122.95786032</v>
      </c>
      <c r="AG23" s="24">
        <v>-687676410.03592491</v>
      </c>
      <c r="AH23" s="24">
        <v>-452169279.14608228</v>
      </c>
      <c r="AI23" s="24">
        <v>-381620937.09096599</v>
      </c>
      <c r="AJ23" s="24">
        <v>-387061368.09772462</v>
      </c>
      <c r="AK23" s="24">
        <v>-270176254.85173148</v>
      </c>
      <c r="AL23" s="24">
        <v>53589064.155919395</v>
      </c>
      <c r="AM23" s="24">
        <v>182402798.03636336</v>
      </c>
      <c r="AN23" s="24"/>
      <c r="AO23" s="24">
        <v>581287412.2641108</v>
      </c>
      <c r="AP23" s="24">
        <v>-439438787.81500733</v>
      </c>
      <c r="AQ23" s="24"/>
      <c r="AR23" s="24">
        <v>-431655623.73104751</v>
      </c>
      <c r="AS23" s="24">
        <v>-630000000</v>
      </c>
      <c r="AT23" s="24"/>
      <c r="AU23" s="24"/>
      <c r="AV23" s="24"/>
      <c r="AW23" s="1"/>
      <c r="AX23" s="1"/>
      <c r="AZ23" s="24">
        <v>-166841095.76152182</v>
      </c>
      <c r="BA23" s="24">
        <v>-250389122.95786032</v>
      </c>
      <c r="BB23" s="24">
        <v>-687676410.03592491</v>
      </c>
      <c r="BC23" s="24">
        <v>-452169279.14608228</v>
      </c>
      <c r="BD23" s="24">
        <v>-381620937.09096599</v>
      </c>
      <c r="BE23" s="24">
        <v>-798631916.73978734</v>
      </c>
      <c r="BF23" s="24">
        <v>-467921101.37946457</v>
      </c>
      <c r="BG23" s="24">
        <v>-227381522.11018774</v>
      </c>
      <c r="BH23" s="24"/>
      <c r="BI23" s="24">
        <v>1559850950.11378</v>
      </c>
    </row>
    <row r="24" spans="1:61" ht="15.75" x14ac:dyDescent="0.3">
      <c r="A24" s="23" t="s">
        <v>227</v>
      </c>
      <c r="B24" s="16" t="s">
        <v>20</v>
      </c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>
        <v>2927452451.0656128</v>
      </c>
      <c r="S24" s="24"/>
      <c r="T24" s="24"/>
      <c r="U24" s="24"/>
      <c r="V24" s="24"/>
      <c r="W24" s="24">
        <v>2570000000</v>
      </c>
      <c r="X24" s="24">
        <v>2400000000</v>
      </c>
      <c r="Y24" s="24">
        <v>2350000000</v>
      </c>
      <c r="Z24" s="24">
        <v>1200000000</v>
      </c>
      <c r="AA24" s="24">
        <v>1874603420.8856213</v>
      </c>
      <c r="AB24" s="24">
        <v>3040000000</v>
      </c>
      <c r="AC24" s="24">
        <v>2215117874.4530344</v>
      </c>
      <c r="AD24" s="24">
        <v>2625053466.9642019</v>
      </c>
      <c r="AE24" s="24">
        <v>1348408836.0360899</v>
      </c>
      <c r="AF24" s="24">
        <v>2007310000</v>
      </c>
      <c r="AG24" s="24">
        <v>4704940000</v>
      </c>
      <c r="AH24" s="24">
        <v>2374760000</v>
      </c>
      <c r="AI24" s="24">
        <v>1983670000</v>
      </c>
      <c r="AJ24" s="24">
        <v>1944539804.4968271</v>
      </c>
      <c r="AK24" s="24">
        <v>4340037439.1539221</v>
      </c>
      <c r="AL24" s="24">
        <v>2148920000</v>
      </c>
      <c r="AM24" s="24">
        <v>1807690000</v>
      </c>
      <c r="AN24" s="24"/>
      <c r="AO24" s="24">
        <v>1857928584.0701318</v>
      </c>
      <c r="AP24" s="24">
        <v>1695329999.9999998</v>
      </c>
      <c r="AQ24" s="24">
        <v>2068328302.0354183</v>
      </c>
      <c r="AR24" s="24">
        <v>2784880000</v>
      </c>
      <c r="AS24" s="24">
        <v>1320000000</v>
      </c>
      <c r="AT24" s="24"/>
      <c r="AU24" s="24"/>
      <c r="AV24" s="24"/>
      <c r="AW24" s="1"/>
      <c r="AX24" s="1"/>
      <c r="AZ24" s="24">
        <v>1340740000</v>
      </c>
      <c r="BA24" s="24">
        <v>2007310000</v>
      </c>
      <c r="BB24" s="24">
        <v>4704940000</v>
      </c>
      <c r="BC24" s="24">
        <v>2374760000</v>
      </c>
      <c r="BD24" s="24">
        <v>1983670000</v>
      </c>
      <c r="BE24" s="24">
        <v>2758540000</v>
      </c>
      <c r="BF24" s="24">
        <v>1960150000</v>
      </c>
      <c r="BG24" s="24">
        <v>4277980000</v>
      </c>
      <c r="BH24" s="24"/>
      <c r="BI24" s="24">
        <v>2576100000</v>
      </c>
    </row>
    <row r="25" spans="1:61" ht="15.75" x14ac:dyDescent="0.3">
      <c r="A25" s="23" t="s">
        <v>228</v>
      </c>
      <c r="B25" s="16" t="s">
        <v>20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>
        <v>1770000000</v>
      </c>
      <c r="X25" s="24">
        <v>3700000000</v>
      </c>
      <c r="Y25" s="24">
        <v>1700000000</v>
      </c>
      <c r="Z25" s="24">
        <v>1100000000</v>
      </c>
      <c r="AA25" s="24"/>
      <c r="AB25" s="24">
        <v>1870000000</v>
      </c>
      <c r="AC25" s="24">
        <v>938053575.83906674</v>
      </c>
      <c r="AD25" s="24"/>
      <c r="AE25" s="24">
        <v>863948235.57329059</v>
      </c>
      <c r="AF25" s="24">
        <v>1418572486.4256089</v>
      </c>
      <c r="AG25" s="24">
        <v>1635399581.8845444</v>
      </c>
      <c r="AH25" s="24">
        <v>1344001413.9711683</v>
      </c>
      <c r="AI25" s="24">
        <v>1164100899.9805558</v>
      </c>
      <c r="AJ25" s="24">
        <v>1128567301.0498459</v>
      </c>
      <c r="AK25" s="24">
        <v>1267206236.5250957</v>
      </c>
      <c r="AL25" s="24">
        <v>1034813836.9754574</v>
      </c>
      <c r="AM25" s="24">
        <v>876722242.4291954</v>
      </c>
      <c r="AN25" s="24"/>
      <c r="AO25" s="24">
        <v>263801851.26919323</v>
      </c>
      <c r="AP25" s="24">
        <v>1155776227.3328302</v>
      </c>
      <c r="AQ25" s="24"/>
      <c r="AR25" s="24">
        <v>1229265129.1498725</v>
      </c>
      <c r="AS25" s="24">
        <v>870000000</v>
      </c>
      <c r="AT25" s="24"/>
      <c r="AU25" s="24"/>
      <c r="AV25" s="24"/>
      <c r="AW25" s="1"/>
      <c r="AX25" s="1"/>
      <c r="AZ25" s="24">
        <v>863948235.57329059</v>
      </c>
      <c r="BA25" s="24">
        <v>1418572486.4256089</v>
      </c>
      <c r="BB25" s="24">
        <v>1023246451.0385925</v>
      </c>
      <c r="BC25" s="24">
        <v>1344001413.9711683</v>
      </c>
      <c r="BD25" s="24">
        <v>1164100899.9805558</v>
      </c>
      <c r="BE25" s="24">
        <v>1642896417.4710941</v>
      </c>
      <c r="BF25" s="24">
        <v>1128567301.0498459</v>
      </c>
      <c r="BG25" s="24">
        <v>1267206236.5250957</v>
      </c>
      <c r="BH25" s="24"/>
      <c r="BI25" s="24">
        <v>263774520.11734045</v>
      </c>
    </row>
    <row r="26" spans="1:61" ht="15.75" x14ac:dyDescent="0.3">
      <c r="A26" s="23" t="s">
        <v>229</v>
      </c>
      <c r="B26" s="16" t="s">
        <v>21</v>
      </c>
      <c r="C26" s="21">
        <v>2020</v>
      </c>
      <c r="D26" s="21">
        <v>2000</v>
      </c>
      <c r="E26" s="21">
        <v>1920</v>
      </c>
      <c r="F26" s="21">
        <v>1900</v>
      </c>
      <c r="G26" s="21">
        <v>1990</v>
      </c>
      <c r="H26" s="21">
        <v>1830</v>
      </c>
      <c r="I26" s="21">
        <v>1910</v>
      </c>
      <c r="J26" s="21">
        <v>2200</v>
      </c>
      <c r="K26" s="21">
        <v>1940</v>
      </c>
      <c r="L26" s="21">
        <v>2020</v>
      </c>
      <c r="M26" s="21">
        <v>2000</v>
      </c>
      <c r="N26" s="21">
        <v>2272</v>
      </c>
      <c r="O26" s="21">
        <v>2250</v>
      </c>
      <c r="P26" s="21">
        <v>2200</v>
      </c>
      <c r="Q26" s="21">
        <v>2200</v>
      </c>
      <c r="R26" s="21">
        <v>2200</v>
      </c>
      <c r="S26" s="21">
        <v>3200</v>
      </c>
      <c r="T26" s="21">
        <v>2990</v>
      </c>
      <c r="U26" s="21">
        <v>3400</v>
      </c>
      <c r="V26" s="21">
        <v>3400</v>
      </c>
      <c r="W26" s="21">
        <v>2237</v>
      </c>
      <c r="X26" s="21">
        <v>2262</v>
      </c>
      <c r="Y26" s="21">
        <v>1946</v>
      </c>
      <c r="Z26" s="21">
        <v>1918</v>
      </c>
      <c r="AA26" s="21">
        <v>2000</v>
      </c>
      <c r="AB26" s="21">
        <v>2300</v>
      </c>
      <c r="AC26" s="21">
        <v>3061.2529999999997</v>
      </c>
      <c r="AD26" s="21">
        <v>2617.8815175485447</v>
      </c>
      <c r="AE26" s="21">
        <v>2010.8400000000001</v>
      </c>
      <c r="AF26" s="21">
        <v>2159.61</v>
      </c>
      <c r="AG26" s="21">
        <v>2413.5300000000002</v>
      </c>
      <c r="AH26" s="21">
        <v>2209.94</v>
      </c>
      <c r="AI26" s="21">
        <v>2011.08</v>
      </c>
      <c r="AJ26" s="21">
        <v>1984.4349999999999</v>
      </c>
      <c r="AK26" s="21">
        <v>2764.3330000000001</v>
      </c>
      <c r="AL26" s="21">
        <v>1977.23</v>
      </c>
      <c r="AM26" s="21">
        <v>1813.1265000000001</v>
      </c>
      <c r="AN26" s="21"/>
      <c r="AO26" s="21">
        <v>2489.041146</v>
      </c>
      <c r="AP26" s="21">
        <v>2123.5300000000002</v>
      </c>
      <c r="AQ26" s="21">
        <v>2106</v>
      </c>
      <c r="AR26" s="21">
        <v>2389.66</v>
      </c>
      <c r="AS26" s="21">
        <v>1930</v>
      </c>
      <c r="AT26" s="21"/>
      <c r="AU26" s="21"/>
      <c r="AV26" s="21"/>
      <c r="AW26" s="3"/>
      <c r="AX26" s="3"/>
      <c r="AZ26" s="32">
        <v>1985</v>
      </c>
      <c r="BA26" s="21">
        <v>2159.61</v>
      </c>
      <c r="BB26" s="21">
        <v>2413.5300000000002</v>
      </c>
      <c r="BC26" s="21">
        <v>2209.94</v>
      </c>
      <c r="BD26" s="21">
        <v>2011.08</v>
      </c>
      <c r="BE26" s="21">
        <v>2187.56</v>
      </c>
      <c r="BF26" s="21">
        <v>1970.47</v>
      </c>
      <c r="BG26" s="21">
        <v>2771.62</v>
      </c>
      <c r="BH26" s="24"/>
      <c r="BI26" s="21">
        <v>2468.17</v>
      </c>
    </row>
    <row r="27" spans="1:61" ht="15.75" x14ac:dyDescent="0.3">
      <c r="A27" s="23" t="s">
        <v>230</v>
      </c>
      <c r="B27" s="16" t="s">
        <v>21</v>
      </c>
      <c r="C27" s="21">
        <v>2050</v>
      </c>
      <c r="D27" s="21">
        <v>2110</v>
      </c>
      <c r="E27" s="21">
        <v>1870</v>
      </c>
      <c r="F27" s="21">
        <v>2000</v>
      </c>
      <c r="G27" s="21">
        <v>2100</v>
      </c>
      <c r="H27" s="21">
        <v>2020</v>
      </c>
      <c r="I27" s="21">
        <v>2050</v>
      </c>
      <c r="J27" s="21">
        <v>2000</v>
      </c>
      <c r="K27" s="21">
        <v>2090</v>
      </c>
      <c r="L27" s="21">
        <v>2095</v>
      </c>
      <c r="M27" s="21">
        <v>2110</v>
      </c>
      <c r="N27" s="21">
        <v>2067</v>
      </c>
      <c r="O27" s="21">
        <v>2070</v>
      </c>
      <c r="P27" s="21">
        <v>2080</v>
      </c>
      <c r="Q27" s="21">
        <v>2100</v>
      </c>
      <c r="R27" s="21">
        <v>2150</v>
      </c>
      <c r="S27" s="21">
        <v>2900</v>
      </c>
      <c r="T27" s="21">
        <v>2560</v>
      </c>
      <c r="U27" s="21">
        <v>3000</v>
      </c>
      <c r="V27" s="21">
        <v>2900</v>
      </c>
      <c r="W27" s="21">
        <v>2095</v>
      </c>
      <c r="X27" s="21">
        <v>2154</v>
      </c>
      <c r="Y27" s="21">
        <v>2033</v>
      </c>
      <c r="Z27" s="21">
        <v>2000</v>
      </c>
      <c r="AA27" s="21">
        <v>2030</v>
      </c>
      <c r="AB27" s="21">
        <v>2130</v>
      </c>
      <c r="AC27" s="21">
        <v>2459.9265</v>
      </c>
      <c r="AD27" s="21">
        <v>2367.42</v>
      </c>
      <c r="AE27" s="21">
        <v>1947.616</v>
      </c>
      <c r="AF27" s="21">
        <v>2039.29</v>
      </c>
      <c r="AG27" s="21">
        <v>2145.79</v>
      </c>
      <c r="AH27" s="21">
        <v>2038.09</v>
      </c>
      <c r="AI27" s="21">
        <v>1952.94</v>
      </c>
      <c r="AJ27" s="21">
        <v>1982.9649999999999</v>
      </c>
      <c r="AK27" s="21">
        <v>2179.1769999999997</v>
      </c>
      <c r="AL27" s="21">
        <v>1505.03</v>
      </c>
      <c r="AM27" s="21">
        <v>1376.614</v>
      </c>
      <c r="AN27" s="21">
        <v>1190</v>
      </c>
      <c r="AO27" s="21">
        <v>1914.0633749999997</v>
      </c>
      <c r="AP27" s="21">
        <v>2004</v>
      </c>
      <c r="AQ27" s="21">
        <v>2278</v>
      </c>
      <c r="AR27" s="21">
        <v>2153.84</v>
      </c>
      <c r="AS27" s="21">
        <v>2000</v>
      </c>
      <c r="AT27" s="21"/>
      <c r="AU27" s="21"/>
      <c r="AV27" s="21"/>
      <c r="AW27" s="3"/>
      <c r="AX27" s="3"/>
      <c r="AZ27" s="32">
        <v>1928</v>
      </c>
      <c r="BA27" s="21">
        <v>2039.29</v>
      </c>
      <c r="BB27" s="21">
        <v>2145.79</v>
      </c>
      <c r="BC27" s="21">
        <v>2038.09</v>
      </c>
      <c r="BD27" s="21">
        <v>1952.94</v>
      </c>
      <c r="BE27" s="21">
        <v>1998</v>
      </c>
      <c r="BF27" s="21">
        <v>1966.2</v>
      </c>
      <c r="BG27" s="21">
        <v>2178.08</v>
      </c>
      <c r="BH27" s="24"/>
      <c r="BI27" s="21">
        <v>2001.86</v>
      </c>
    </row>
    <row r="28" spans="1:61" ht="15.75" x14ac:dyDescent="0.3">
      <c r="A28" s="23" t="s">
        <v>231</v>
      </c>
      <c r="B28" s="16" t="s">
        <v>21</v>
      </c>
      <c r="C28" s="21">
        <v>1420</v>
      </c>
      <c r="D28" s="21">
        <v>1440</v>
      </c>
      <c r="E28" s="21">
        <v>1400</v>
      </c>
      <c r="F28" s="21">
        <v>1420</v>
      </c>
      <c r="G28" s="21">
        <v>1410</v>
      </c>
      <c r="H28" s="21">
        <v>1410</v>
      </c>
      <c r="I28" s="21">
        <v>1420</v>
      </c>
      <c r="J28" s="21">
        <v>1425</v>
      </c>
      <c r="K28" s="21">
        <v>1430</v>
      </c>
      <c r="L28" s="21">
        <v>1440</v>
      </c>
      <c r="M28" s="21">
        <v>1440</v>
      </c>
      <c r="N28" s="21">
        <v>1630</v>
      </c>
      <c r="O28" s="21">
        <v>1620</v>
      </c>
      <c r="P28" s="21">
        <v>1590</v>
      </c>
      <c r="Q28" s="21">
        <v>1570</v>
      </c>
      <c r="R28" s="21">
        <v>1450</v>
      </c>
      <c r="S28" s="21">
        <v>2200</v>
      </c>
      <c r="T28" s="21">
        <v>2130</v>
      </c>
      <c r="U28" s="21">
        <v>2500</v>
      </c>
      <c r="V28" s="21">
        <v>2500</v>
      </c>
      <c r="W28" s="21">
        <v>1470</v>
      </c>
      <c r="X28" s="21">
        <v>1600</v>
      </c>
      <c r="Y28" s="21">
        <v>1370</v>
      </c>
      <c r="Z28" s="21">
        <f>L28</f>
        <v>1440</v>
      </c>
      <c r="AA28" s="21">
        <v>1530</v>
      </c>
      <c r="AB28" s="21">
        <v>1610</v>
      </c>
      <c r="AC28" s="21">
        <v>2279.9841957680592</v>
      </c>
      <c r="AD28" s="21">
        <v>1902.1816212304907</v>
      </c>
      <c r="AE28" s="21">
        <v>1382.3691720680276</v>
      </c>
      <c r="AF28" s="21">
        <v>1480</v>
      </c>
      <c r="AG28" s="21">
        <v>1670</v>
      </c>
      <c r="AH28" s="21">
        <v>1500</v>
      </c>
      <c r="AI28" s="21">
        <v>1400</v>
      </c>
      <c r="AJ28" s="21">
        <v>1410</v>
      </c>
      <c r="AK28" s="21">
        <v>2057.0844999999999</v>
      </c>
      <c r="AL28" s="21">
        <v>1418.5855019619371</v>
      </c>
      <c r="AM28" s="21">
        <v>1269.9859851980432</v>
      </c>
      <c r="AN28" s="21"/>
      <c r="AO28" s="21">
        <v>1856.2397100000003</v>
      </c>
      <c r="AP28" s="21">
        <v>1530.0689088145907</v>
      </c>
      <c r="AQ28" s="21"/>
      <c r="AR28" s="21">
        <v>1759.03</v>
      </c>
      <c r="AS28" s="21">
        <v>1380</v>
      </c>
      <c r="AT28" s="21"/>
      <c r="AU28" s="21"/>
      <c r="AV28" s="21"/>
      <c r="AW28" s="3"/>
      <c r="AX28" s="3"/>
      <c r="AZ28" s="32">
        <v>1375</v>
      </c>
      <c r="BA28" s="32">
        <v>1480</v>
      </c>
      <c r="BB28" s="32">
        <v>1670</v>
      </c>
      <c r="BC28" s="32">
        <v>1500</v>
      </c>
      <c r="BD28" s="32">
        <v>1400</v>
      </c>
      <c r="BE28" s="32">
        <v>1624</v>
      </c>
      <c r="BF28" s="32">
        <v>1410</v>
      </c>
      <c r="BG28" s="21">
        <v>2057.0844999999999</v>
      </c>
      <c r="BH28" s="24"/>
      <c r="BI28" s="21">
        <v>1904.7323500000002</v>
      </c>
    </row>
    <row r="29" spans="1:61" ht="15.75" x14ac:dyDescent="0.3">
      <c r="A29" s="23" t="s">
        <v>232</v>
      </c>
      <c r="B29" s="16" t="s">
        <v>21</v>
      </c>
      <c r="C29" s="21">
        <v>1390</v>
      </c>
      <c r="D29" s="21">
        <v>1365</v>
      </c>
      <c r="E29" s="21">
        <v>1300</v>
      </c>
      <c r="F29" s="21">
        <v>1340</v>
      </c>
      <c r="G29" s="21">
        <v>1365</v>
      </c>
      <c r="H29" s="21">
        <v>1390</v>
      </c>
      <c r="I29" s="21">
        <v>1340</v>
      </c>
      <c r="J29" s="21">
        <v>1325</v>
      </c>
      <c r="K29" s="21">
        <v>1590</v>
      </c>
      <c r="L29" s="21">
        <v>1550</v>
      </c>
      <c r="M29" s="21">
        <v>1365</v>
      </c>
      <c r="N29" s="21">
        <v>1550</v>
      </c>
      <c r="O29" s="21">
        <v>1480</v>
      </c>
      <c r="P29" s="21">
        <v>1505</v>
      </c>
      <c r="Q29" s="21">
        <v>1450</v>
      </c>
      <c r="R29" s="21">
        <v>1335</v>
      </c>
      <c r="S29" s="21">
        <v>2300</v>
      </c>
      <c r="T29" s="21">
        <v>2120</v>
      </c>
      <c r="U29" s="21">
        <v>2400</v>
      </c>
      <c r="V29" s="21">
        <v>2500</v>
      </c>
      <c r="W29" s="21">
        <v>1340</v>
      </c>
      <c r="X29" s="21">
        <v>1500</v>
      </c>
      <c r="Y29" s="21">
        <v>1320</v>
      </c>
      <c r="Z29" s="21">
        <f>L29</f>
        <v>1550</v>
      </c>
      <c r="AA29" s="21">
        <v>1400</v>
      </c>
      <c r="AB29" s="21">
        <v>1500</v>
      </c>
      <c r="AC29" s="21">
        <v>1868.2805705209125</v>
      </c>
      <c r="AD29" s="21">
        <v>2061.4656251822485</v>
      </c>
      <c r="AE29" s="21">
        <v>1225.3081190143846</v>
      </c>
      <c r="AF29" s="21">
        <v>1600</v>
      </c>
      <c r="AG29" s="21">
        <v>1600</v>
      </c>
      <c r="AH29" s="21">
        <v>1470.4508499999999</v>
      </c>
      <c r="AI29" s="21">
        <v>1500</v>
      </c>
      <c r="AJ29" s="21">
        <v>1311.37644</v>
      </c>
      <c r="AK29" s="21">
        <v>2165.2784389835774</v>
      </c>
      <c r="AL29" s="21">
        <v>1215.9383164371118</v>
      </c>
      <c r="AM29" s="21">
        <v>1055.0183913646329</v>
      </c>
      <c r="AN29" s="21"/>
      <c r="AO29" s="21">
        <v>1814.6578125000001</v>
      </c>
      <c r="AP29" s="21">
        <v>1379.7058604586434</v>
      </c>
      <c r="AQ29" s="21"/>
      <c r="AR29" s="21">
        <v>1627.53</v>
      </c>
      <c r="AS29" s="21">
        <v>1335.0842635149922</v>
      </c>
      <c r="AT29" s="21"/>
      <c r="AU29" s="21"/>
      <c r="AV29" s="21"/>
      <c r="AW29" s="3"/>
      <c r="AX29" s="3"/>
      <c r="AZ29" s="32">
        <v>1328</v>
      </c>
      <c r="BA29" s="32">
        <v>1600</v>
      </c>
      <c r="BB29" s="32">
        <v>1600</v>
      </c>
      <c r="BC29" s="32">
        <v>1800</v>
      </c>
      <c r="BD29" s="32">
        <v>1500</v>
      </c>
      <c r="BE29" s="32">
        <v>1500</v>
      </c>
      <c r="BF29" s="32">
        <v>1500</v>
      </c>
      <c r="BG29" s="32"/>
      <c r="BH29" s="24"/>
      <c r="BI29" s="32"/>
    </row>
    <row r="30" spans="1:61" ht="15.75" x14ac:dyDescent="0.3">
      <c r="A30" s="23" t="s">
        <v>233</v>
      </c>
      <c r="B30" s="16" t="s">
        <v>21</v>
      </c>
      <c r="C30" s="21" t="e">
        <f>NA()</f>
        <v>#N/A</v>
      </c>
      <c r="D30" s="21" t="e">
        <f>NA()</f>
        <v>#N/A</v>
      </c>
      <c r="E30" s="21">
        <v>855.47622681102268</v>
      </c>
      <c r="F30" s="21">
        <v>826.18965042863761</v>
      </c>
      <c r="G30" s="21" t="e">
        <f>NA()</f>
        <v>#N/A</v>
      </c>
      <c r="H30" s="21" t="e">
        <f>NA()</f>
        <v>#N/A</v>
      </c>
      <c r="I30" s="21" t="e">
        <f>NA()</f>
        <v>#N/A</v>
      </c>
      <c r="J30" s="21" t="e">
        <f>NA()</f>
        <v>#N/A</v>
      </c>
      <c r="K30" s="21" t="e">
        <f>NA()</f>
        <v>#N/A</v>
      </c>
      <c r="L30" s="21" t="e">
        <f>NA()</f>
        <v>#N/A</v>
      </c>
      <c r="M30" s="21" t="e">
        <f>NA()</f>
        <v>#N/A</v>
      </c>
      <c r="N30" s="21" t="e">
        <f>NA()</f>
        <v>#N/A</v>
      </c>
      <c r="O30" s="21" t="e">
        <f>NA()</f>
        <v>#N/A</v>
      </c>
      <c r="P30" s="21" t="e">
        <f>NA()</f>
        <v>#N/A</v>
      </c>
      <c r="Q30" s="21" t="e">
        <f>NA()</f>
        <v>#N/A</v>
      </c>
      <c r="R30" s="21" t="e">
        <f>NA()</f>
        <v>#N/A</v>
      </c>
      <c r="S30" s="21">
        <v>1500</v>
      </c>
      <c r="T30" s="21">
        <v>1430</v>
      </c>
      <c r="U30" s="21">
        <v>1500</v>
      </c>
      <c r="V30" s="21">
        <v>1400</v>
      </c>
      <c r="W30" s="21" t="e">
        <f>NA()</f>
        <v>#N/A</v>
      </c>
      <c r="X30" s="21" t="e">
        <f>NA()</f>
        <v>#N/A</v>
      </c>
      <c r="Y30" s="21">
        <v>1180</v>
      </c>
      <c r="Z30" s="21" t="e">
        <f>NA()</f>
        <v>#N/A</v>
      </c>
      <c r="AA30" s="21" t="e">
        <f>NA()</f>
        <v>#N/A</v>
      </c>
      <c r="AB30" s="21" t="e">
        <f>NA()</f>
        <v>#N/A</v>
      </c>
      <c r="AC30" s="21" t="e">
        <f>NA()</f>
        <v>#N/A</v>
      </c>
      <c r="AD30" s="21" t="e">
        <f>NA()</f>
        <v>#N/A</v>
      </c>
      <c r="AE30" s="21">
        <v>949.1</v>
      </c>
      <c r="AF30" s="21">
        <v>946.1</v>
      </c>
      <c r="AG30" s="21">
        <v>1028.7</v>
      </c>
      <c r="AH30" s="21">
        <v>1018.37</v>
      </c>
      <c r="AI30" s="21">
        <v>895.72</v>
      </c>
      <c r="AJ30" s="21">
        <v>822</v>
      </c>
      <c r="AK30" s="21">
        <v>1393.97</v>
      </c>
      <c r="AL30" s="21">
        <v>954.38811681691413</v>
      </c>
      <c r="AM30" s="21">
        <v>817.7113605018742</v>
      </c>
      <c r="AN30" s="21"/>
      <c r="AO30" s="21">
        <v>1206.95</v>
      </c>
      <c r="AP30" s="21">
        <v>946.11001075327795</v>
      </c>
      <c r="AQ30" s="21"/>
      <c r="AR30" s="21">
        <v>1169.0109996179071</v>
      </c>
      <c r="AS30" s="21"/>
      <c r="AT30" s="21"/>
      <c r="AU30" s="21"/>
      <c r="AV30" s="21"/>
      <c r="AW30" s="3"/>
      <c r="AX30" s="3"/>
      <c r="AZ30" s="32">
        <v>949.1</v>
      </c>
      <c r="BA30" s="32">
        <v>946.1</v>
      </c>
      <c r="BB30" s="32">
        <v>1201</v>
      </c>
      <c r="BC30" s="32">
        <v>1018.37</v>
      </c>
      <c r="BD30" s="32">
        <v>895.72</v>
      </c>
      <c r="BE30" s="32">
        <v>964</v>
      </c>
      <c r="BF30" s="32">
        <v>822</v>
      </c>
      <c r="BG30" s="32">
        <v>1393.97</v>
      </c>
      <c r="BH30" s="24"/>
      <c r="BI30" s="32">
        <v>1206.95</v>
      </c>
    </row>
    <row r="31" spans="1:61" ht="15.75" x14ac:dyDescent="0.3">
      <c r="A31" s="23" t="s">
        <v>234</v>
      </c>
      <c r="B31" s="16" t="s">
        <v>21</v>
      </c>
      <c r="C31" s="21" t="e">
        <f>NA()</f>
        <v>#N/A</v>
      </c>
      <c r="D31" s="21" t="e">
        <f>NA()</f>
        <v>#N/A</v>
      </c>
      <c r="E31" s="21" t="e">
        <f>NA()</f>
        <v>#N/A</v>
      </c>
      <c r="F31" s="21" t="e">
        <f>NA()</f>
        <v>#N/A</v>
      </c>
      <c r="G31" s="21" t="e">
        <f>NA()</f>
        <v>#N/A</v>
      </c>
      <c r="H31" s="21" t="e">
        <f>NA()</f>
        <v>#N/A</v>
      </c>
      <c r="I31" s="21" t="e">
        <f>NA()</f>
        <v>#N/A</v>
      </c>
      <c r="J31" s="21" t="e">
        <f>NA()</f>
        <v>#N/A</v>
      </c>
      <c r="K31" s="21" t="e">
        <f>NA()</f>
        <v>#N/A</v>
      </c>
      <c r="L31" s="21" t="e">
        <f>NA()</f>
        <v>#N/A</v>
      </c>
      <c r="M31" s="21" t="e">
        <f>NA()</f>
        <v>#N/A</v>
      </c>
      <c r="N31" s="21" t="e">
        <f>NA()</f>
        <v>#N/A</v>
      </c>
      <c r="O31" s="21" t="e">
        <f>NA()</f>
        <v>#N/A</v>
      </c>
      <c r="P31" s="21" t="e">
        <f>NA()</f>
        <v>#N/A</v>
      </c>
      <c r="Q31" s="21" t="e">
        <f>NA()</f>
        <v>#N/A</v>
      </c>
      <c r="R31" s="21" t="e">
        <f>NA()</f>
        <v>#N/A</v>
      </c>
      <c r="S31" s="21" t="e">
        <f>NA()</f>
        <v>#N/A</v>
      </c>
      <c r="T31" s="21" t="e">
        <f>NA()</f>
        <v>#N/A</v>
      </c>
      <c r="U31" s="21" t="e">
        <f>NA()</f>
        <v>#N/A</v>
      </c>
      <c r="V31" s="21" t="e">
        <f>NA()</f>
        <v>#N/A</v>
      </c>
      <c r="W31" s="21">
        <v>1108</v>
      </c>
      <c r="X31" s="21">
        <v>1105</v>
      </c>
      <c r="Y31" s="21">
        <v>949</v>
      </c>
      <c r="Z31" s="21" t="e">
        <f>NA()</f>
        <v>#N/A</v>
      </c>
      <c r="AA31" s="21" t="e">
        <f>NA()</f>
        <v>#N/A</v>
      </c>
      <c r="AB31" s="21">
        <v>1159</v>
      </c>
      <c r="AC31" s="21" t="e">
        <f>NA()</f>
        <v>#N/A</v>
      </c>
      <c r="AD31" s="21" t="e">
        <f>NA()</f>
        <v>#N/A</v>
      </c>
      <c r="AE31" s="21">
        <f>AE32*$Y$37</f>
        <v>939.39257592800902</v>
      </c>
      <c r="AF31" s="21">
        <f>AF32*$Y$37</f>
        <v>939.39257592800902</v>
      </c>
      <c r="AG31" s="21">
        <f>AG32*AVERAGE($W$37,X37)</f>
        <v>1162.2707530156836</v>
      </c>
      <c r="AH31" s="21">
        <f>AH32*AVERAGE($W$37,Y37)</f>
        <v>1068.704572556471</v>
      </c>
      <c r="AI31" s="21">
        <v>949.51805212043541</v>
      </c>
      <c r="AJ31" s="21">
        <f>AJ32*$Y$37</f>
        <v>939.39257592800902</v>
      </c>
      <c r="AK31" s="21">
        <f>AK32*$Y$37</f>
        <v>960.74240719910006</v>
      </c>
      <c r="AL31" s="21" t="e">
        <f>NA()</f>
        <v>#N/A</v>
      </c>
      <c r="AM31" s="21" t="e">
        <f>NA()</f>
        <v>#N/A</v>
      </c>
      <c r="AN31" s="21" t="e">
        <f>NA()</f>
        <v>#N/A</v>
      </c>
      <c r="AO31" s="16">
        <v>900</v>
      </c>
      <c r="AP31" s="21" t="e">
        <f>NA()</f>
        <v>#N/A</v>
      </c>
      <c r="AQ31" s="21" t="e">
        <f>NA()</f>
        <v>#N/A</v>
      </c>
      <c r="AR31" s="21">
        <v>1200</v>
      </c>
      <c r="AS31" s="21" t="e">
        <f>NA()</f>
        <v>#N/A</v>
      </c>
      <c r="AT31" s="21" t="e">
        <f>NA()</f>
        <v>#N/A</v>
      </c>
      <c r="AU31" s="21" t="e">
        <f>NA()</f>
        <v>#N/A</v>
      </c>
      <c r="AV31" s="21" t="e">
        <f>NA()</f>
        <v>#N/A</v>
      </c>
      <c r="AW31" s="3"/>
      <c r="AX31" s="3"/>
      <c r="AZ31" s="32"/>
      <c r="BA31" s="32"/>
      <c r="BB31" s="32"/>
      <c r="BC31" s="32"/>
      <c r="BD31" s="32"/>
      <c r="BE31" s="32"/>
      <c r="BF31" s="32"/>
      <c r="BG31" s="32"/>
      <c r="BH31" s="24"/>
      <c r="BI31" s="32"/>
    </row>
    <row r="32" spans="1:61" ht="15.75" x14ac:dyDescent="0.3">
      <c r="A32" s="23" t="s">
        <v>235</v>
      </c>
      <c r="B32" s="16" t="s">
        <v>21</v>
      </c>
      <c r="C32" s="21" t="e">
        <f>NA()</f>
        <v>#N/A</v>
      </c>
      <c r="D32" s="21" t="e">
        <f>NA()</f>
        <v>#N/A</v>
      </c>
      <c r="E32" s="21" t="e">
        <f>NA()</f>
        <v>#N/A</v>
      </c>
      <c r="F32" s="21" t="e">
        <f>NA()</f>
        <v>#N/A</v>
      </c>
      <c r="G32" s="21" t="e">
        <f>NA()</f>
        <v>#N/A</v>
      </c>
      <c r="H32" s="21" t="e">
        <f>NA()</f>
        <v>#N/A</v>
      </c>
      <c r="I32" s="21" t="e">
        <f>NA()</f>
        <v>#N/A</v>
      </c>
      <c r="J32" s="21" t="e">
        <f>NA()</f>
        <v>#N/A</v>
      </c>
      <c r="K32" s="21" t="e">
        <f>NA()</f>
        <v>#N/A</v>
      </c>
      <c r="L32" s="21" t="e">
        <f>NA()</f>
        <v>#N/A</v>
      </c>
      <c r="M32" s="21" t="e">
        <f>NA()</f>
        <v>#N/A</v>
      </c>
      <c r="N32" s="21" t="e">
        <f>NA()</f>
        <v>#N/A</v>
      </c>
      <c r="O32" s="21" t="e">
        <f>NA()</f>
        <v>#N/A</v>
      </c>
      <c r="P32" s="21" t="e">
        <f>NA()</f>
        <v>#N/A</v>
      </c>
      <c r="Q32" s="21" t="e">
        <f>NA()</f>
        <v>#N/A</v>
      </c>
      <c r="R32" s="21" t="e">
        <f>NA()</f>
        <v>#N/A</v>
      </c>
      <c r="S32" s="21" t="e">
        <f>NA()</f>
        <v>#N/A</v>
      </c>
      <c r="T32" s="21" t="e">
        <f>NA()</f>
        <v>#N/A</v>
      </c>
      <c r="U32" s="21" t="e">
        <f>NA()</f>
        <v>#N/A</v>
      </c>
      <c r="V32" s="21" t="e">
        <f>NA()</f>
        <v>#N/A</v>
      </c>
      <c r="W32" s="21">
        <v>1064</v>
      </c>
      <c r="X32" s="21">
        <v>1059</v>
      </c>
      <c r="Y32" s="21">
        <v>889</v>
      </c>
      <c r="Z32" s="21" t="e">
        <f>NA()</f>
        <v>#N/A</v>
      </c>
      <c r="AA32" s="21" t="e">
        <f>NA()</f>
        <v>#N/A</v>
      </c>
      <c r="AB32" s="21">
        <v>1075</v>
      </c>
      <c r="AC32" s="21" t="e">
        <f>NA()</f>
        <v>#N/A</v>
      </c>
      <c r="AD32" s="21" t="e">
        <f>NA()</f>
        <v>#N/A</v>
      </c>
      <c r="AE32" s="21">
        <v>880</v>
      </c>
      <c r="AF32" s="21">
        <v>880</v>
      </c>
      <c r="AG32" s="21">
        <v>1115</v>
      </c>
      <c r="AH32" s="21">
        <v>1013.5449494</v>
      </c>
      <c r="AI32" s="21">
        <v>884.01698190000002</v>
      </c>
      <c r="AJ32" s="21">
        <v>880</v>
      </c>
      <c r="AK32" s="21">
        <v>900</v>
      </c>
      <c r="AL32" s="21" t="e">
        <f>NA()</f>
        <v>#N/A</v>
      </c>
      <c r="AM32" s="21" t="e">
        <f>NA()</f>
        <v>#N/A</v>
      </c>
      <c r="AN32" s="21" t="e">
        <f>NA()</f>
        <v>#N/A</v>
      </c>
      <c r="AO32" s="21">
        <f t="shared" ref="AO32" si="0">AO31</f>
        <v>900</v>
      </c>
      <c r="AP32" s="21" t="e">
        <f>NA()</f>
        <v>#N/A</v>
      </c>
      <c r="AQ32" s="21" t="e">
        <f>NA()</f>
        <v>#N/A</v>
      </c>
      <c r="AR32" s="21">
        <f>AR31/AB37</f>
        <v>1113.0284728213978</v>
      </c>
      <c r="AS32" s="21" t="e">
        <f>NA()</f>
        <v>#N/A</v>
      </c>
      <c r="AT32" s="21" t="e">
        <f>NA()</f>
        <v>#N/A</v>
      </c>
      <c r="AU32" s="21" t="e">
        <f>NA()</f>
        <v>#N/A</v>
      </c>
      <c r="AV32" s="21" t="e">
        <f>NA()</f>
        <v>#N/A</v>
      </c>
      <c r="AW32" s="3"/>
      <c r="AX32" s="3"/>
      <c r="AZ32" s="32"/>
      <c r="BA32" s="32"/>
      <c r="BB32" s="32"/>
      <c r="BC32" s="32"/>
      <c r="BD32" s="32"/>
      <c r="BE32" s="32"/>
      <c r="BF32" s="32"/>
      <c r="BG32" s="32"/>
      <c r="BH32" s="24"/>
      <c r="BI32" s="32"/>
    </row>
    <row r="33" spans="1:61" ht="15.75" x14ac:dyDescent="0.3">
      <c r="A33" s="36" t="s">
        <v>236</v>
      </c>
      <c r="B33" s="16"/>
      <c r="C33" s="21">
        <v>80</v>
      </c>
      <c r="D33" s="21">
        <v>80</v>
      </c>
      <c r="E33" s="21">
        <v>50</v>
      </c>
      <c r="F33" s="21">
        <v>50</v>
      </c>
      <c r="G33" s="21">
        <v>80</v>
      </c>
      <c r="H33" s="21">
        <v>50</v>
      </c>
      <c r="I33" s="21">
        <v>80</v>
      </c>
      <c r="J33" s="21">
        <v>50</v>
      </c>
      <c r="K33" s="21">
        <v>75</v>
      </c>
      <c r="L33" s="21">
        <v>75</v>
      </c>
      <c r="M33" s="21">
        <v>80</v>
      </c>
      <c r="N33" s="21">
        <v>1000</v>
      </c>
      <c r="O33" s="21">
        <v>1000</v>
      </c>
      <c r="P33" s="21">
        <v>550</v>
      </c>
      <c r="Q33" s="21">
        <v>500</v>
      </c>
      <c r="R33" s="21">
        <v>350</v>
      </c>
      <c r="S33" s="21">
        <v>100</v>
      </c>
      <c r="T33" s="21">
        <v>50</v>
      </c>
      <c r="U33" s="21">
        <v>725</v>
      </c>
      <c r="V33" s="21">
        <v>910</v>
      </c>
      <c r="W33" s="21">
        <v>700</v>
      </c>
      <c r="X33" s="21">
        <v>1400</v>
      </c>
      <c r="Y33" s="21">
        <v>80</v>
      </c>
      <c r="Z33" s="21">
        <v>70</v>
      </c>
      <c r="AA33" s="21">
        <v>75</v>
      </c>
      <c r="AB33" s="21">
        <v>1300</v>
      </c>
      <c r="AC33" s="21">
        <v>172.2</v>
      </c>
      <c r="AD33" s="21">
        <v>205</v>
      </c>
      <c r="AE33" s="21">
        <v>65.38</v>
      </c>
      <c r="AF33" s="21">
        <v>104.35</v>
      </c>
      <c r="AG33" s="21">
        <v>1661.5</v>
      </c>
      <c r="AH33" s="21">
        <v>2714.2</v>
      </c>
      <c r="AI33" s="21">
        <v>88.92</v>
      </c>
      <c r="AJ33" s="21">
        <v>77.06</v>
      </c>
      <c r="AK33" s="21">
        <v>699.3</v>
      </c>
      <c r="AL33" s="21">
        <v>1234.8399999999999</v>
      </c>
      <c r="AM33" s="21">
        <v>143.5</v>
      </c>
      <c r="AN33" s="21"/>
      <c r="AO33" s="21">
        <v>1725.34</v>
      </c>
      <c r="AP33" s="21">
        <v>3170</v>
      </c>
      <c r="AQ33" s="21">
        <v>140</v>
      </c>
      <c r="AR33" s="21">
        <v>1955.55</v>
      </c>
      <c r="AS33" s="21"/>
      <c r="AT33" s="21"/>
      <c r="AU33" s="21"/>
      <c r="AV33" s="21"/>
      <c r="AW33" s="3"/>
      <c r="AX33" s="3"/>
      <c r="AZ33" s="21">
        <v>65.38</v>
      </c>
      <c r="BA33" s="21">
        <v>104.35</v>
      </c>
      <c r="BB33" s="21">
        <v>1661.5</v>
      </c>
      <c r="BC33" s="21">
        <v>776.14</v>
      </c>
      <c r="BD33" s="21">
        <v>88.92</v>
      </c>
      <c r="BE33" s="21">
        <v>971.29</v>
      </c>
      <c r="BF33" s="21">
        <v>76.400000000000006</v>
      </c>
      <c r="BG33" s="21">
        <v>699.3</v>
      </c>
      <c r="BH33" s="24"/>
      <c r="BI33" s="21">
        <v>1725.34</v>
      </c>
    </row>
    <row r="34" spans="1:61" ht="15.75" x14ac:dyDescent="0.3">
      <c r="A34" s="23" t="s">
        <v>237</v>
      </c>
      <c r="B34" s="16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>
        <v>146</v>
      </c>
      <c r="AD34" s="21">
        <v>195</v>
      </c>
      <c r="AE34" s="21">
        <v>58.61</v>
      </c>
      <c r="AF34" s="21">
        <v>68.849999999999994</v>
      </c>
      <c r="AG34" s="21">
        <v>3604.375</v>
      </c>
      <c r="AH34" s="21">
        <v>3332.6</v>
      </c>
      <c r="AI34" s="21">
        <v>73.78</v>
      </c>
      <c r="AJ34" s="21">
        <v>57.034999999999997</v>
      </c>
      <c r="AK34" s="21">
        <v>313.95999999999998</v>
      </c>
      <c r="AL34" s="21">
        <v>319.14999999999998</v>
      </c>
      <c r="AM34" s="21">
        <v>126.66666666666667</v>
      </c>
      <c r="AN34" s="21">
        <v>70</v>
      </c>
      <c r="AO34" s="21">
        <v>4056.4285714285716</v>
      </c>
      <c r="AP34" s="21">
        <v>3856</v>
      </c>
      <c r="AQ34" s="21"/>
      <c r="AR34" s="21">
        <v>1000</v>
      </c>
      <c r="AS34" s="21">
        <v>60</v>
      </c>
      <c r="AT34" s="21"/>
      <c r="AU34" s="21"/>
      <c r="AV34" s="21"/>
      <c r="AW34" s="3"/>
      <c r="AX34" s="3"/>
      <c r="AZ34" s="21">
        <v>58.61</v>
      </c>
      <c r="BA34" s="21">
        <v>68.849999999999994</v>
      </c>
      <c r="BB34" s="21">
        <v>3604.375</v>
      </c>
      <c r="BC34" s="21">
        <v>372.71</v>
      </c>
      <c r="BD34" s="21">
        <v>73.78</v>
      </c>
      <c r="BE34" s="21">
        <v>1088.43</v>
      </c>
      <c r="BF34" s="21">
        <v>195.35</v>
      </c>
      <c r="BG34" s="21">
        <v>313.95999999999998</v>
      </c>
      <c r="BH34" s="24"/>
      <c r="BI34" s="21">
        <v>465.41</v>
      </c>
    </row>
    <row r="35" spans="1:61" ht="14.25" x14ac:dyDescent="0.2">
      <c r="A35" s="23" t="s">
        <v>118</v>
      </c>
      <c r="B35" s="16" t="s">
        <v>238</v>
      </c>
      <c r="C35" s="21">
        <v>7770</v>
      </c>
      <c r="D35" s="21">
        <v>7950</v>
      </c>
      <c r="E35" s="21">
        <v>7770</v>
      </c>
      <c r="F35" s="21">
        <v>7870</v>
      </c>
      <c r="G35" s="21">
        <v>7950</v>
      </c>
      <c r="H35" s="21">
        <v>7870</v>
      </c>
      <c r="I35" s="21">
        <v>7900</v>
      </c>
      <c r="J35" s="16">
        <v>7880</v>
      </c>
      <c r="K35" s="21">
        <v>8200</v>
      </c>
      <c r="L35" s="21">
        <v>8200</v>
      </c>
      <c r="M35" s="21">
        <v>7950</v>
      </c>
      <c r="N35" s="21">
        <v>7500</v>
      </c>
      <c r="O35" s="21">
        <v>7500</v>
      </c>
      <c r="P35" s="21">
        <v>7500</v>
      </c>
      <c r="Q35" s="21">
        <v>7500</v>
      </c>
      <c r="R35" s="21">
        <v>7850</v>
      </c>
      <c r="S35" s="21">
        <v>4550</v>
      </c>
      <c r="T35" s="21">
        <v>4450</v>
      </c>
      <c r="U35" s="21">
        <v>4590</v>
      </c>
      <c r="V35" s="21">
        <v>4500</v>
      </c>
      <c r="W35" s="21">
        <v>7700</v>
      </c>
      <c r="X35" s="21">
        <v>7930</v>
      </c>
      <c r="Y35" s="21">
        <v>7850</v>
      </c>
      <c r="Z35" s="21">
        <v>7920</v>
      </c>
      <c r="AA35" s="21">
        <v>7650</v>
      </c>
      <c r="AB35" s="21">
        <v>7750</v>
      </c>
      <c r="AC35" s="21">
        <v>5740.5780113292612</v>
      </c>
      <c r="AD35" s="21">
        <v>5780</v>
      </c>
      <c r="AE35" s="21">
        <v>7889.48</v>
      </c>
      <c r="AF35" s="21">
        <v>7700</v>
      </c>
      <c r="AG35" s="21">
        <v>7700</v>
      </c>
      <c r="AH35" s="21">
        <v>7700</v>
      </c>
      <c r="AI35" s="21">
        <v>7700</v>
      </c>
      <c r="AJ35" s="21">
        <v>7450</v>
      </c>
      <c r="AK35" s="21">
        <v>7685.2953486734605</v>
      </c>
      <c r="AL35" s="21">
        <v>6413</v>
      </c>
      <c r="AM35" s="21">
        <v>6470</v>
      </c>
      <c r="AN35" s="21">
        <v>5800</v>
      </c>
      <c r="AO35" s="21">
        <v>6389</v>
      </c>
      <c r="AP35" s="21">
        <v>7760</v>
      </c>
      <c r="AQ35" s="21">
        <v>4400</v>
      </c>
      <c r="AR35" s="21">
        <v>7549</v>
      </c>
      <c r="AS35" s="21">
        <v>7900</v>
      </c>
      <c r="AT35" s="21"/>
      <c r="AU35" s="21"/>
      <c r="AV35" s="21"/>
      <c r="AW35" s="3"/>
      <c r="AX35" s="3"/>
      <c r="AZ35" s="32">
        <v>7780</v>
      </c>
      <c r="BA35" s="32">
        <v>7700</v>
      </c>
      <c r="BB35" s="32">
        <v>7700</v>
      </c>
      <c r="BC35" s="32">
        <v>7700</v>
      </c>
      <c r="BD35" s="32">
        <v>7700</v>
      </c>
      <c r="BE35" s="32">
        <v>7700</v>
      </c>
      <c r="BF35" s="32">
        <v>7460</v>
      </c>
      <c r="BG35" s="32">
        <v>7550</v>
      </c>
      <c r="BH35" s="24"/>
      <c r="BI35" s="32">
        <v>6530</v>
      </c>
    </row>
    <row r="36" spans="1:61" ht="15.75" x14ac:dyDescent="0.3">
      <c r="A36" s="23" t="s">
        <v>294</v>
      </c>
      <c r="B36" s="16"/>
      <c r="C36" s="29">
        <v>0.32</v>
      </c>
      <c r="D36" s="29">
        <v>0.34</v>
      </c>
      <c r="E36" s="29">
        <v>0.31</v>
      </c>
      <c r="F36" s="29">
        <v>0.31</v>
      </c>
      <c r="G36" s="29">
        <v>0.32</v>
      </c>
      <c r="H36" s="29">
        <v>0.32</v>
      </c>
      <c r="I36" s="29">
        <v>0.31</v>
      </c>
      <c r="J36" s="29">
        <v>0.31</v>
      </c>
      <c r="K36" s="29">
        <v>0.32</v>
      </c>
      <c r="L36" s="29">
        <v>0.32</v>
      </c>
      <c r="M36" s="29">
        <v>0.34</v>
      </c>
      <c r="N36" s="29">
        <v>0.32</v>
      </c>
      <c r="O36" s="29">
        <v>0.32</v>
      </c>
      <c r="P36" s="29">
        <v>0.33</v>
      </c>
      <c r="Q36" s="29">
        <v>0.34</v>
      </c>
      <c r="R36" s="29">
        <v>0.31788079470198677</v>
      </c>
      <c r="S36" s="29">
        <v>0.36</v>
      </c>
      <c r="T36" s="29">
        <v>0.35</v>
      </c>
      <c r="U36" s="29">
        <v>0.3</v>
      </c>
      <c r="V36" s="29">
        <v>0.28999999999999998</v>
      </c>
      <c r="W36" s="29">
        <v>0.27419354838709675</v>
      </c>
      <c r="X36" s="29">
        <v>0.32799999999999996</v>
      </c>
      <c r="Y36" s="29">
        <v>0.28000000000000003</v>
      </c>
      <c r="Z36" s="29">
        <v>0.35294117647058826</v>
      </c>
      <c r="AA36" s="29">
        <v>0.29213483146067415</v>
      </c>
      <c r="AB36" s="29">
        <v>0.38738738738738737</v>
      </c>
      <c r="AC36" s="29">
        <v>0.27061338668256596</v>
      </c>
      <c r="AD36" s="29">
        <v>0.31037900001448726</v>
      </c>
      <c r="AE36" s="29">
        <v>0.39042735659494099</v>
      </c>
      <c r="AF36" s="29">
        <v>0.39410000000000001</v>
      </c>
      <c r="AG36" s="29">
        <v>0.29949999999999999</v>
      </c>
      <c r="AH36" s="29">
        <v>0.33439999999999998</v>
      </c>
      <c r="AI36" s="29">
        <v>0.38919999999999999</v>
      </c>
      <c r="AJ36" s="29">
        <v>0.34329999999999994</v>
      </c>
      <c r="AK36" s="29">
        <v>0.22171525407620507</v>
      </c>
      <c r="AL36" s="29">
        <v>0.32954258015558779</v>
      </c>
      <c r="AM36" s="29">
        <v>0.36459999999999998</v>
      </c>
      <c r="AN36" s="29"/>
      <c r="AO36" s="29">
        <v>0.21305702984661304</v>
      </c>
      <c r="AP36" s="29">
        <v>0.3231</v>
      </c>
      <c r="AQ36" s="29"/>
      <c r="AR36" s="29">
        <v>0.30087615046571403</v>
      </c>
      <c r="AS36" s="29">
        <v>0.35</v>
      </c>
      <c r="AT36" s="29"/>
      <c r="AU36" s="29"/>
      <c r="AV36" s="29"/>
      <c r="AW36" s="2"/>
      <c r="AX36" s="2"/>
      <c r="AZ36" s="29">
        <v>0.4254</v>
      </c>
      <c r="BA36" s="29">
        <v>0.39410000000000001</v>
      </c>
      <c r="BB36" s="29">
        <v>0.29949999999999999</v>
      </c>
      <c r="BC36" s="29">
        <v>0.33439999999999998</v>
      </c>
      <c r="BD36" s="29">
        <v>0.38919999999999999</v>
      </c>
      <c r="BE36" s="29">
        <v>0.29459999999999997</v>
      </c>
      <c r="BF36" s="29">
        <v>0.33979999999999999</v>
      </c>
      <c r="BG36" s="29">
        <v>0.22009999999999999</v>
      </c>
      <c r="BH36" s="24"/>
      <c r="BI36" s="29">
        <v>0.21479999999999999</v>
      </c>
    </row>
    <row r="37" spans="1:61" ht="15.75" x14ac:dyDescent="0.3">
      <c r="A37" s="23" t="s">
        <v>295</v>
      </c>
      <c r="B37" s="16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>
        <f>W31/W32</f>
        <v>1.0413533834586466</v>
      </c>
      <c r="X37" s="29">
        <f t="shared" ref="X37:Y37" si="1">X31/X32</f>
        <v>1.0434372049102927</v>
      </c>
      <c r="Y37" s="29">
        <f t="shared" si="1"/>
        <v>1.0674915635545557</v>
      </c>
      <c r="Z37" s="29"/>
      <c r="AA37" s="29"/>
      <c r="AB37" s="29">
        <f>AB31/AB32</f>
        <v>1.0781395348837208</v>
      </c>
      <c r="AC37" s="29">
        <v>0.31738172397352332</v>
      </c>
      <c r="AD37" s="29">
        <v>0.31110278533292252</v>
      </c>
      <c r="AE37" s="29"/>
      <c r="AF37" s="29"/>
      <c r="AG37" s="29">
        <v>0.34940350928648417</v>
      </c>
      <c r="AH37" s="29">
        <v>0.35891599578374911</v>
      </c>
      <c r="AI37" s="29">
        <v>0.37118978655908413</v>
      </c>
      <c r="AJ37" s="29">
        <v>0.38173491206671528</v>
      </c>
      <c r="AK37" s="29">
        <v>7.297948320491715E-2</v>
      </c>
      <c r="AL37" s="29">
        <v>0.28676628852701963</v>
      </c>
      <c r="AM37" s="29">
        <v>0.29332287238442917</v>
      </c>
      <c r="AN37" s="29"/>
      <c r="AO37" s="29">
        <v>0.27100000000000002</v>
      </c>
      <c r="AP37" s="29">
        <v>0.37075128154096898</v>
      </c>
      <c r="AQ37" s="29"/>
      <c r="AR37" s="29">
        <v>0.35570651149345833</v>
      </c>
      <c r="AS37" s="29">
        <v>0.40273224043715844</v>
      </c>
      <c r="AT37" s="29"/>
      <c r="AU37" s="29"/>
      <c r="AV37" s="29"/>
      <c r="AW37" s="2"/>
      <c r="AX37" s="2"/>
      <c r="AZ37" s="29"/>
      <c r="BA37" s="29"/>
      <c r="BB37" s="29"/>
      <c r="BC37" s="29"/>
      <c r="BD37" s="29"/>
      <c r="BE37" s="29"/>
      <c r="BF37" s="29"/>
      <c r="BG37" s="29"/>
      <c r="BH37" s="24"/>
      <c r="BI37" s="29"/>
    </row>
    <row r="38" spans="1:61" ht="15.75" x14ac:dyDescent="0.3">
      <c r="A38" s="23" t="s">
        <v>240</v>
      </c>
      <c r="B38" s="16" t="s">
        <v>241</v>
      </c>
      <c r="C38" s="24">
        <v>1.56E-11</v>
      </c>
      <c r="D38" s="24">
        <v>1.5099999999999998E-11</v>
      </c>
      <c r="E38" s="24">
        <v>1.6699999999999998E-11</v>
      </c>
      <c r="F38" s="24">
        <v>1.6600000000000003E-11</v>
      </c>
      <c r="G38" s="24">
        <v>1.5900000000000001E-11</v>
      </c>
      <c r="H38" s="24">
        <v>1.6E-11</v>
      </c>
      <c r="I38" s="24">
        <v>1.5694093245513371E-11</v>
      </c>
      <c r="J38" s="24">
        <v>1.5623706161833473E-11</v>
      </c>
      <c r="K38" s="24">
        <v>1.4699999999999998E-11</v>
      </c>
      <c r="L38" s="24">
        <v>1.45E-11</v>
      </c>
      <c r="M38" s="24">
        <v>1.516519139684758E-11</v>
      </c>
      <c r="N38" s="24">
        <v>1.2545949540190949E-11</v>
      </c>
      <c r="O38" s="24">
        <v>1.2701315856322716E-11</v>
      </c>
      <c r="P38" s="24">
        <v>1.3185132444655407E-11</v>
      </c>
      <c r="Q38" s="24">
        <v>1.3523199047966787E-11</v>
      </c>
      <c r="R38" s="24">
        <v>1.5099999999999998E-11</v>
      </c>
      <c r="S38" s="24">
        <v>1.1000000000000001E-11</v>
      </c>
      <c r="T38" s="24">
        <v>1.24E-11</v>
      </c>
      <c r="U38" s="24">
        <v>8.8999999999999996E-12</v>
      </c>
      <c r="V38" s="24">
        <v>8.8000000000000013E-12</v>
      </c>
      <c r="W38" s="24">
        <v>1.24E-11</v>
      </c>
      <c r="X38" s="24">
        <v>1.25E-11</v>
      </c>
      <c r="Y38" s="24">
        <v>1.695E-11</v>
      </c>
      <c r="Z38" s="24">
        <v>1.6999999999999999E-11</v>
      </c>
      <c r="AA38" s="24">
        <v>1.7799999999999999E-11</v>
      </c>
      <c r="AB38" s="24">
        <v>1.1100000000000001E-11</v>
      </c>
      <c r="AC38" s="24">
        <v>8.3776210608606547E-12</v>
      </c>
      <c r="AD38" s="24">
        <v>1.1953861172253873E-11</v>
      </c>
      <c r="AE38" s="24">
        <v>1.6582253452015968E-11</v>
      </c>
      <c r="AF38" s="24">
        <v>1.48103E-11</v>
      </c>
      <c r="AG38" s="24">
        <v>1.04549E-11</v>
      </c>
      <c r="AH38" s="24">
        <v>1.2999099999999999E-11</v>
      </c>
      <c r="AI38" s="24">
        <v>1.6955499999999999E-11</v>
      </c>
      <c r="AJ38" s="24">
        <v>1.6864149999999999E-11</v>
      </c>
      <c r="AK38" s="24">
        <v>7.2490206924158913E-12</v>
      </c>
      <c r="AL38" s="24">
        <v>1.9371699999999999E-11</v>
      </c>
      <c r="AM38" s="24">
        <v>2.3957299999999999E-11</v>
      </c>
      <c r="AN38" s="24"/>
      <c r="AO38" s="24">
        <v>1.0651865934309246E-11</v>
      </c>
      <c r="AP38" s="24">
        <v>1.3761200000000001E-11</v>
      </c>
      <c r="AQ38" s="24"/>
      <c r="AR38" s="24">
        <v>1.0854300000000001E-11</v>
      </c>
      <c r="AS38" s="24">
        <v>1.5269999999999999E-11</v>
      </c>
      <c r="AT38" s="24"/>
      <c r="AU38" s="24"/>
      <c r="AV38" s="24"/>
      <c r="AW38" s="1"/>
      <c r="AX38" s="1"/>
      <c r="AZ38" s="24">
        <v>1.8243400000000001E-11</v>
      </c>
      <c r="BA38" s="24">
        <v>1.48103E-11</v>
      </c>
      <c r="BB38" s="24">
        <v>1.04549E-11</v>
      </c>
      <c r="BC38" s="24">
        <v>1.2999099999999999E-11</v>
      </c>
      <c r="BD38" s="24">
        <v>1.6955499999999999E-11</v>
      </c>
      <c r="BE38" s="24">
        <v>1.2597700000000001E-11</v>
      </c>
      <c r="BF38" s="24">
        <v>1.70006E-11</v>
      </c>
      <c r="BG38" s="24">
        <v>7.3271999999999997E-12</v>
      </c>
      <c r="BH38" s="24"/>
      <c r="BI38" s="24">
        <v>1.06189E-11</v>
      </c>
    </row>
    <row r="39" spans="1:61" ht="15.75" x14ac:dyDescent="0.3">
      <c r="A39" s="23" t="s">
        <v>242</v>
      </c>
      <c r="B39" s="16" t="s">
        <v>241</v>
      </c>
      <c r="C39" s="24">
        <v>-4.9000000000000005E-12</v>
      </c>
      <c r="D39" s="24">
        <v>-4.7000000000000006E-12</v>
      </c>
      <c r="E39" s="24">
        <v>-5.2999999999999996E-12</v>
      </c>
      <c r="F39" s="24">
        <v>-5.2000000000000005E-12</v>
      </c>
      <c r="G39" s="24">
        <v>-5.0999999999999997E-12</v>
      </c>
      <c r="H39" s="24">
        <v>-5.0999999999999997E-12</v>
      </c>
      <c r="I39" s="24">
        <v>-4.9999999999999997E-12</v>
      </c>
      <c r="J39" s="24">
        <v>-4.7999999999999997E-12</v>
      </c>
      <c r="K39" s="24">
        <v>-4.7000000000000006E-12</v>
      </c>
      <c r="L39" s="24">
        <v>-4.7000000000000006E-12</v>
      </c>
      <c r="M39" s="24">
        <v>-5.1561650749281777E-12</v>
      </c>
      <c r="N39" s="24">
        <v>-3.8999999999999999E-12</v>
      </c>
      <c r="O39" s="24" t="s">
        <v>155</v>
      </c>
      <c r="P39" s="24">
        <v>-3.6E-12</v>
      </c>
      <c r="Q39" s="24">
        <v>-3.8E-12</v>
      </c>
      <c r="R39" s="24">
        <v>-4.7999999999999997E-12</v>
      </c>
      <c r="S39" s="24">
        <v>-3.8999999999999999E-12</v>
      </c>
      <c r="T39" s="24">
        <v>-4.2999999999999999E-12</v>
      </c>
      <c r="U39" s="24">
        <v>-3.2000000000000001E-12</v>
      </c>
      <c r="V39" s="24">
        <v>-2.6000000000000002E-12</v>
      </c>
      <c r="W39" s="24">
        <v>-3.4000000000000001E-12</v>
      </c>
      <c r="X39" s="24">
        <v>-4.0999999999999999E-12</v>
      </c>
      <c r="Y39" s="24">
        <v>-4.7460000000000002E-12</v>
      </c>
      <c r="Z39" s="24">
        <v>-6.0000000000000003E-12</v>
      </c>
      <c r="AA39" s="24">
        <v>-5.1999999999999997E-12</v>
      </c>
      <c r="AB39" s="24">
        <v>-4.2999999999999999E-12</v>
      </c>
      <c r="AC39" s="24">
        <v>-2.2670964076226929E-12</v>
      </c>
      <c r="AD39" s="24">
        <v>-3.7102274769561632E-12</v>
      </c>
      <c r="AE39" s="24">
        <v>-6.4741653816579301E-12</v>
      </c>
      <c r="AF39" s="24">
        <v>-5.8365E-12</v>
      </c>
      <c r="AG39" s="24">
        <v>-3.1316000000000001E-12</v>
      </c>
      <c r="AH39" s="24">
        <v>-4.3469000000000004E-12</v>
      </c>
      <c r="AI39" s="24">
        <v>-6.5991E-12</v>
      </c>
      <c r="AJ39" s="24">
        <v>-5.7896500000000001E-12</v>
      </c>
      <c r="AK39" s="24">
        <v>-1.6072184646226575E-12</v>
      </c>
      <c r="AL39" s="24">
        <v>-6.3838000000000003E-12</v>
      </c>
      <c r="AM39" s="24">
        <v>-8.7341999999999997E-12</v>
      </c>
      <c r="AN39" s="24"/>
      <c r="AO39" s="24">
        <v>-2.2694549182882454E-12</v>
      </c>
      <c r="AP39" s="24">
        <v>-4.4461000000000006E-12</v>
      </c>
      <c r="AQ39" s="24"/>
      <c r="AR39" s="24">
        <v>-3.2658000000000001E-12</v>
      </c>
      <c r="AS39" s="24">
        <v>-5.4599999999999998E-12</v>
      </c>
      <c r="AT39" s="24"/>
      <c r="AU39" s="24"/>
      <c r="AV39" s="24"/>
      <c r="AW39" s="1"/>
      <c r="AX39" s="1"/>
      <c r="AZ39" s="24">
        <v>-7.7614999999999992E-12</v>
      </c>
      <c r="BA39" s="24">
        <v>-5.8365E-12</v>
      </c>
      <c r="BB39" s="24">
        <v>-3.1316000000000001E-12</v>
      </c>
      <c r="BC39" s="24">
        <v>-4.3469000000000004E-12</v>
      </c>
      <c r="BD39" s="24">
        <v>-6.5991E-12</v>
      </c>
      <c r="BE39" s="24">
        <v>-3.7109000000000003E-12</v>
      </c>
      <c r="BF39" s="24">
        <v>-5.7774E-12</v>
      </c>
      <c r="BG39" s="24">
        <v>-1.6130000000000001E-12</v>
      </c>
      <c r="BH39" s="24"/>
      <c r="BI39" s="24">
        <v>-2.2803999999999999E-12</v>
      </c>
    </row>
    <row r="40" spans="1:61" ht="15.75" x14ac:dyDescent="0.3">
      <c r="A40" s="23" t="s">
        <v>243</v>
      </c>
      <c r="B40" s="16" t="s">
        <v>241</v>
      </c>
      <c r="C40" s="24">
        <v>-7.4E-12</v>
      </c>
      <c r="D40" s="24">
        <v>-7.5999999999999999E-12</v>
      </c>
      <c r="E40" s="24">
        <v>-7.5999999999999999E-12</v>
      </c>
      <c r="F40" s="24">
        <v>-8.4999999999999997E-12</v>
      </c>
      <c r="G40" s="24">
        <v>-7.8999999999999999E-12</v>
      </c>
      <c r="H40" s="24">
        <v>-7.9999999999999998E-12</v>
      </c>
      <c r="I40" s="24">
        <v>-7.6999999999999999E-12</v>
      </c>
      <c r="J40" s="24">
        <v>-7.6999999999999999E-12</v>
      </c>
      <c r="K40" s="24">
        <v>-7.3E-12</v>
      </c>
      <c r="L40" s="24">
        <v>-7.2E-12</v>
      </c>
      <c r="M40" s="24" t="s">
        <v>155</v>
      </c>
      <c r="N40" s="24">
        <v>-5.2000000000000005E-12</v>
      </c>
      <c r="O40" s="24">
        <v>-5.0999999999999997E-12</v>
      </c>
      <c r="P40" s="24">
        <v>-4.7499999999999998E-12</v>
      </c>
      <c r="Q40" s="24">
        <v>-4.5399999999999996E-12</v>
      </c>
      <c r="R40" s="24">
        <v>-7.9999999999999998E-12</v>
      </c>
      <c r="S40" s="24">
        <v>-3.9999999999999999E-12</v>
      </c>
      <c r="T40" s="24">
        <v>-4.1999999999999999E-12</v>
      </c>
      <c r="U40" s="24">
        <v>-3.2000000000000001E-12</v>
      </c>
      <c r="V40" s="24">
        <v>-2.8999999999999998E-12</v>
      </c>
      <c r="W40" s="24">
        <v>-5.3999999999999996E-12</v>
      </c>
      <c r="X40" s="24">
        <v>-5.7000000000000003E-12</v>
      </c>
      <c r="Y40" s="24">
        <v>-8.9215968874227795E-12</v>
      </c>
      <c r="Z40" s="24">
        <v>-7.5E-12</v>
      </c>
      <c r="AA40" s="24">
        <v>-9.8999999999999994E-12</v>
      </c>
      <c r="AB40" s="24">
        <v>-5.3999999999999996E-12</v>
      </c>
      <c r="AC40" s="24">
        <v>-4.0766656723565882E-12</v>
      </c>
      <c r="AD40" s="24">
        <v>-3.3514696209728452E-12</v>
      </c>
      <c r="AE40" s="24">
        <v>-8.5356225356618906E-12</v>
      </c>
      <c r="AF40" s="24">
        <v>-7.1153000000000006E-12</v>
      </c>
      <c r="AG40" s="24">
        <v>-4.7651999999999999E-12</v>
      </c>
      <c r="AH40" s="24">
        <v>-7.0485000000000001E-12</v>
      </c>
      <c r="AI40" s="24">
        <v>-8.6118999999999997E-12</v>
      </c>
      <c r="AJ40" s="24">
        <v>-8.9352499999999999E-12</v>
      </c>
      <c r="AK40" s="24">
        <v>-5.2400884234548957E-13</v>
      </c>
      <c r="AL40" s="24">
        <v>-8.1271E-12</v>
      </c>
      <c r="AM40" s="24">
        <v>-1.09916E-11</v>
      </c>
      <c r="AN40" s="24"/>
      <c r="AO40" s="24">
        <v>-3.3547160362040247E-12</v>
      </c>
      <c r="AP40" s="24">
        <v>-6.8925999999999999E-12</v>
      </c>
      <c r="AQ40" s="24"/>
      <c r="AR40" s="24">
        <v>-5.6605E-12</v>
      </c>
      <c r="AS40" s="24">
        <v>-7.3699999999999995E-12</v>
      </c>
      <c r="AT40" s="24"/>
      <c r="AU40" s="24"/>
      <c r="AV40" s="24"/>
      <c r="AW40" s="1"/>
      <c r="AX40" s="1"/>
      <c r="AZ40" s="24">
        <v>-6.8470999999999998E-12</v>
      </c>
      <c r="BA40" s="24">
        <v>-7.1153000000000006E-12</v>
      </c>
      <c r="BB40" s="24">
        <v>-4.7651999999999999E-12</v>
      </c>
      <c r="BC40" s="24">
        <v>-7.0485000000000001E-12</v>
      </c>
      <c r="BD40" s="24">
        <v>-8.6118999999999997E-12</v>
      </c>
      <c r="BE40" s="24">
        <v>-6.5987999999999997E-12</v>
      </c>
      <c r="BF40" s="24">
        <v>-8.7909000000000004E-12</v>
      </c>
      <c r="BG40" s="24">
        <v>-5.3589999999999997E-13</v>
      </c>
      <c r="BH40" s="24"/>
      <c r="BI40" s="24">
        <v>-1.20047E-11</v>
      </c>
    </row>
    <row r="41" spans="1:61" ht="15.75" x14ac:dyDescent="0.3">
      <c r="A41" s="23" t="s">
        <v>244</v>
      </c>
      <c r="B41" s="16" t="s">
        <v>241</v>
      </c>
      <c r="C41" s="24">
        <v>1.8600000000000002E-11</v>
      </c>
      <c r="D41" s="24">
        <v>1.8600000000000002E-11</v>
      </c>
      <c r="E41" s="24">
        <v>1.97E-11</v>
      </c>
      <c r="F41" s="24">
        <v>2.0999999999999999E-11</v>
      </c>
      <c r="G41" s="24">
        <v>1.8999999999999999E-11</v>
      </c>
      <c r="H41" s="24">
        <v>1.9800000000000002E-11</v>
      </c>
      <c r="I41" s="24">
        <v>1.8857223808136649E-11</v>
      </c>
      <c r="J41" s="24">
        <v>1.9199999999999999E-11</v>
      </c>
      <c r="K41" s="24">
        <v>1.8100000000000001E-11</v>
      </c>
      <c r="L41" s="24">
        <v>1.7999999999999999E-11</v>
      </c>
      <c r="M41" s="24">
        <v>1.814890582769586E-11</v>
      </c>
      <c r="N41" s="24">
        <v>1.46E-11</v>
      </c>
      <c r="O41" s="24">
        <v>1.6699999999999998E-11</v>
      </c>
      <c r="P41" s="24">
        <v>1.56E-11</v>
      </c>
      <c r="Q41" s="24">
        <v>1.7300000000000001E-11</v>
      </c>
      <c r="R41" s="24">
        <v>1.97E-11</v>
      </c>
      <c r="S41" s="24">
        <v>1.1200000000000001E-11</v>
      </c>
      <c r="T41" s="24">
        <v>1.33E-11</v>
      </c>
      <c r="U41" s="24">
        <v>9.6999999999999995E-12</v>
      </c>
      <c r="V41" s="24">
        <v>9.3999999999999995E-12</v>
      </c>
      <c r="W41" s="24">
        <v>1.46E-11</v>
      </c>
      <c r="X41" s="24">
        <v>1.6E-11</v>
      </c>
      <c r="Y41" s="24">
        <v>2.13E-11</v>
      </c>
      <c r="Z41" s="24">
        <v>2.0999999999999999E-11</v>
      </c>
      <c r="AA41" s="24">
        <v>2.39E-11</v>
      </c>
      <c r="AB41" s="24">
        <v>1.5E-11</v>
      </c>
      <c r="AC41" s="24">
        <v>1.2844676817927527E-11</v>
      </c>
      <c r="AD41" s="24">
        <v>1.0772869221939991E-11</v>
      </c>
      <c r="AE41" s="24">
        <v>2.3116979561582822E-11</v>
      </c>
      <c r="AF41" s="24">
        <v>1.9396499999999998E-11</v>
      </c>
      <c r="AG41" s="24">
        <v>1.3638099999999999E-11</v>
      </c>
      <c r="AH41" s="24">
        <v>1.96383E-11</v>
      </c>
      <c r="AI41" s="24">
        <v>2.3200800000000001E-11</v>
      </c>
      <c r="AJ41" s="24">
        <v>2.3406949999999997E-11</v>
      </c>
      <c r="AK41" s="24">
        <v>7.1802213352777391E-12</v>
      </c>
      <c r="AL41" s="24">
        <v>2.83405E-11</v>
      </c>
      <c r="AM41" s="24">
        <v>3.7472700000000002E-11</v>
      </c>
      <c r="AN41" s="24"/>
      <c r="AO41" s="24">
        <v>1.2379025963852488E-11</v>
      </c>
      <c r="AP41" s="24">
        <v>1.85909E-11</v>
      </c>
      <c r="AQ41" s="24"/>
      <c r="AR41" s="24">
        <v>1.5913400000000001E-11</v>
      </c>
      <c r="AS41" s="24">
        <v>1.8300000000000001E-11</v>
      </c>
      <c r="AT41" s="24"/>
      <c r="AU41" s="24"/>
      <c r="AV41" s="24"/>
      <c r="AW41" s="1"/>
      <c r="AX41" s="1"/>
      <c r="AZ41" s="24">
        <v>1.7973299999999999E-11</v>
      </c>
      <c r="BA41" s="24">
        <v>1.9396499999999998E-11</v>
      </c>
      <c r="BB41" s="24">
        <v>1.3638099999999999E-11</v>
      </c>
      <c r="BC41" s="24">
        <v>1.96383E-11</v>
      </c>
      <c r="BD41" s="24">
        <v>2.3200800000000001E-11</v>
      </c>
      <c r="BE41" s="24">
        <v>1.8290799999999999E-11</v>
      </c>
      <c r="BF41" s="24">
        <v>2.29082E-11</v>
      </c>
      <c r="BG41" s="24">
        <v>7.3067E-12</v>
      </c>
      <c r="BH41" s="24"/>
      <c r="BI41" s="24">
        <v>4.4232100000000003E-11</v>
      </c>
    </row>
    <row r="42" spans="1:61" ht="15.75" x14ac:dyDescent="0.3">
      <c r="A42" s="23" t="s">
        <v>245</v>
      </c>
      <c r="B42" s="16" t="s">
        <v>241</v>
      </c>
      <c r="C42" s="24">
        <v>3.7000000000000001E-11</v>
      </c>
      <c r="D42" s="24">
        <v>3.9999999999999998E-11</v>
      </c>
      <c r="E42" s="24">
        <v>4.8500000000000001E-11</v>
      </c>
      <c r="F42" s="24">
        <v>5.2400000000000001E-11</v>
      </c>
      <c r="G42" s="24">
        <v>4.6511627906976741E-11</v>
      </c>
      <c r="H42" s="24">
        <v>5.4000000000000001E-11</v>
      </c>
      <c r="I42" s="24">
        <v>5.0601817735200197E-11</v>
      </c>
      <c r="J42" s="24">
        <v>4.5899999999999998E-11</v>
      </c>
      <c r="K42" s="24">
        <v>3.8100000000000003E-11</v>
      </c>
      <c r="L42" s="24">
        <v>4.1400000000000001E-11</v>
      </c>
      <c r="M42" s="24">
        <v>3.9999999999999998E-11</v>
      </c>
      <c r="N42" s="24" t="s">
        <v>155</v>
      </c>
      <c r="O42" s="24" t="s">
        <v>155</v>
      </c>
      <c r="P42" s="24" t="s">
        <v>155</v>
      </c>
      <c r="Q42" s="24" t="s">
        <v>155</v>
      </c>
      <c r="R42" s="24" t="s">
        <v>155</v>
      </c>
      <c r="S42" s="24">
        <v>2.7299999999999999E-11</v>
      </c>
      <c r="T42" s="24">
        <v>2.8899999999999998E-11</v>
      </c>
      <c r="U42" s="24">
        <v>2.4299999999999999E-11</v>
      </c>
      <c r="V42" s="24">
        <v>3.0300000000000001E-11</v>
      </c>
      <c r="W42" s="24">
        <v>3.4499999999999997E-11</v>
      </c>
      <c r="X42" s="24">
        <v>3.9499999999999999E-11</v>
      </c>
      <c r="Y42" s="24">
        <v>4.8894042782521718E-11</v>
      </c>
      <c r="Z42" s="24">
        <v>3.6200000000000002E-11</v>
      </c>
      <c r="AA42" s="24">
        <v>4.89E-11</v>
      </c>
      <c r="AB42" s="24">
        <v>3.4499999999999997E-11</v>
      </c>
      <c r="AC42" s="24">
        <v>2.0587299177279848E-11</v>
      </c>
      <c r="AD42" s="24"/>
      <c r="AE42" s="24">
        <v>3.8035829751626034E-11</v>
      </c>
      <c r="AF42" s="24">
        <v>3.8972680151213997E-11</v>
      </c>
      <c r="AG42" s="24">
        <v>3.2422267613396881E-11</v>
      </c>
      <c r="AH42" s="24">
        <v>3.3193918874062273E-11</v>
      </c>
      <c r="AI42" s="24">
        <v>4.3453700082562027E-11</v>
      </c>
      <c r="AJ42" s="24">
        <v>5.4054054054054054E-11</v>
      </c>
      <c r="AK42" s="24">
        <v>1.720992668571232E-11</v>
      </c>
      <c r="AL42" s="24">
        <v>4.4632524601915003E-11</v>
      </c>
      <c r="AM42" s="24">
        <v>6.0867011550480496E-11</v>
      </c>
      <c r="AN42" s="24"/>
      <c r="AO42" s="24">
        <v>2.6211632722602292E-11</v>
      </c>
      <c r="AP42" s="24">
        <v>3.8865969956410778E-11</v>
      </c>
      <c r="AQ42" s="24"/>
      <c r="AR42" s="24">
        <v>2.5550208703243801E-11</v>
      </c>
      <c r="AS42" s="24">
        <v>2.669E-11</v>
      </c>
      <c r="AT42" s="24"/>
      <c r="AU42" s="24"/>
      <c r="AV42" s="24"/>
      <c r="AW42" s="1"/>
      <c r="AX42" s="1"/>
      <c r="AZ42" s="24">
        <v>3.8035829751626034E-11</v>
      </c>
      <c r="BA42" s="24">
        <v>3.8972680151213997E-11</v>
      </c>
      <c r="BB42" s="24">
        <v>2.297160709363227E-11</v>
      </c>
      <c r="BC42" s="24">
        <v>3.3193918874062273E-11</v>
      </c>
      <c r="BD42" s="24">
        <v>4.3453700082562027E-11</v>
      </c>
      <c r="BE42" s="24">
        <v>3.7715923662970506E-11</v>
      </c>
      <c r="BF42" s="24">
        <v>5.4054054054054054E-11</v>
      </c>
      <c r="BG42" s="24">
        <v>1.720992668571232E-11</v>
      </c>
      <c r="BH42" s="24"/>
      <c r="BI42" s="24">
        <v>2.6211632722602292E-11</v>
      </c>
    </row>
    <row r="43" spans="1:61" ht="15.75" x14ac:dyDescent="0.3">
      <c r="A43" s="23" t="s">
        <v>246</v>
      </c>
      <c r="B43" s="16" t="s">
        <v>241</v>
      </c>
      <c r="C43" s="24">
        <v>4.1000000000000001E-11</v>
      </c>
      <c r="D43" s="24">
        <v>3.9600000000000004E-11</v>
      </c>
      <c r="E43" s="24">
        <v>4.4000000000000003E-11</v>
      </c>
      <c r="F43" s="24">
        <v>4.3600000000000003E-11</v>
      </c>
      <c r="G43" s="24">
        <v>4.1999999999999997E-11</v>
      </c>
      <c r="H43" s="24">
        <v>4.22E-11</v>
      </c>
      <c r="I43" s="24">
        <v>4.1388186491026747E-11</v>
      </c>
      <c r="J43" s="24">
        <v>4.0847412323666945E-11</v>
      </c>
      <c r="K43" s="24">
        <v>3.8799999999999998E-11</v>
      </c>
      <c r="L43" s="24">
        <v>3.8399999999999998E-11</v>
      </c>
      <c r="M43" s="24">
        <v>3.033038279369516E-11</v>
      </c>
      <c r="N43" s="24">
        <v>3.2891899080381896E-11</v>
      </c>
      <c r="O43" s="24">
        <v>2.5402631712645431E-11</v>
      </c>
      <c r="P43" s="24">
        <v>3.3570264889310811E-11</v>
      </c>
      <c r="Q43" s="24">
        <v>3.4646398095933576E-11</v>
      </c>
      <c r="R43" s="24">
        <v>3.9799999999999994E-11</v>
      </c>
      <c r="S43" s="24">
        <v>2.9800000000000003E-11</v>
      </c>
      <c r="T43" s="24">
        <v>3.3500000000000001E-11</v>
      </c>
      <c r="U43" s="24">
        <v>2.4099999999999999E-11</v>
      </c>
      <c r="V43" s="24">
        <v>2.2800000000000001E-11</v>
      </c>
      <c r="W43" s="24">
        <v>3.1500000000000001E-11</v>
      </c>
      <c r="X43" s="24">
        <v>3.3199999999999999E-11</v>
      </c>
      <c r="Y43" s="24">
        <v>4.339199999999999E-11</v>
      </c>
      <c r="Z43" s="24">
        <v>4.6000000000000003E-11</v>
      </c>
      <c r="AA43" s="24">
        <v>4.6100000000000001E-11</v>
      </c>
      <c r="AB43" s="24">
        <v>3.08E-11</v>
      </c>
      <c r="AC43" s="24">
        <v>2.1289434936966697E-11</v>
      </c>
      <c r="AD43" s="24">
        <v>3.1328177298420073E-11</v>
      </c>
      <c r="AE43" s="24">
        <v>4.6112837667347798E-11</v>
      </c>
      <c r="AF43" s="24">
        <v>4.1293699999999997E-11</v>
      </c>
      <c r="AG43" s="24">
        <v>2.7173000000000001E-11</v>
      </c>
      <c r="AH43" s="24">
        <v>3.4691899999999997E-11</v>
      </c>
      <c r="AI43" s="24">
        <v>4.7109200000000003E-11</v>
      </c>
      <c r="AJ43" s="24">
        <v>4.5307449999999998E-11</v>
      </c>
      <c r="AK43" s="24">
        <v>1.7712478314077101E-11</v>
      </c>
      <c r="AL43" s="24">
        <v>5.1511000000000001E-11</v>
      </c>
      <c r="AM43" s="24">
        <v>6.5382999999999998E-11</v>
      </c>
      <c r="AN43" s="24"/>
      <c r="AO43" s="24">
        <v>2.5842641705194983E-11</v>
      </c>
      <c r="AP43" s="24">
        <v>3.64146E-11</v>
      </c>
      <c r="AQ43" s="24"/>
      <c r="AR43" s="24">
        <v>2.82403E-11</v>
      </c>
      <c r="AS43" s="24">
        <v>4.1459999999999998E-11</v>
      </c>
      <c r="AT43" s="24"/>
      <c r="AU43" s="24"/>
      <c r="AV43" s="24"/>
      <c r="AW43" s="1"/>
      <c r="AX43" s="1"/>
      <c r="AZ43" s="24">
        <v>5.2009799999999998E-11</v>
      </c>
      <c r="BA43" s="24">
        <v>4.1293699999999997E-11</v>
      </c>
      <c r="BB43" s="24">
        <v>2.7173000000000001E-11</v>
      </c>
      <c r="BC43" s="24">
        <v>3.4691899999999997E-11</v>
      </c>
      <c r="BD43" s="24">
        <v>4.7109200000000003E-11</v>
      </c>
      <c r="BE43" s="24">
        <v>3.2617199999999999E-11</v>
      </c>
      <c r="BF43" s="24">
        <v>4.5556E-11</v>
      </c>
      <c r="BG43" s="24">
        <v>1.7880500000000002E-11</v>
      </c>
      <c r="BH43" s="24"/>
      <c r="BI43" s="24">
        <v>2.57986E-11</v>
      </c>
    </row>
    <row r="44" spans="1:61" ht="15.75" x14ac:dyDescent="0.3">
      <c r="A44" s="23" t="s">
        <v>247</v>
      </c>
      <c r="B44" s="16" t="s">
        <v>241</v>
      </c>
      <c r="C44" s="24">
        <v>1.3699999999999999E-11</v>
      </c>
      <c r="D44" s="24">
        <v>1.2699999999999999E-11</v>
      </c>
      <c r="E44" s="24">
        <v>1.39E-11</v>
      </c>
      <c r="F44" s="24">
        <v>1.35E-11</v>
      </c>
      <c r="G44" s="24">
        <v>1.3E-11</v>
      </c>
      <c r="H44" s="24">
        <v>1.26E-11</v>
      </c>
      <c r="I44" s="24">
        <v>1.2516039363296914E-11</v>
      </c>
      <c r="J44" s="24">
        <v>1.25E-11</v>
      </c>
      <c r="K44" s="24">
        <v>1.2199999999999999E-11</v>
      </c>
      <c r="L44" s="24">
        <v>1.2199999999999999E-11</v>
      </c>
      <c r="M44" s="24">
        <v>1.2615922723037503E-11</v>
      </c>
      <c r="N44" s="24">
        <v>1.1095637773344875E-11</v>
      </c>
      <c r="O44" s="24">
        <v>1.1233043743331808E-11</v>
      </c>
      <c r="P44" s="24">
        <v>1.1749271521432433E-11</v>
      </c>
      <c r="Q44" s="24">
        <v>1.2138423465454988E-11</v>
      </c>
      <c r="R44" s="24">
        <v>1.3354439999999999E-11</v>
      </c>
      <c r="S44" s="24">
        <v>1.0199999999999999E-11</v>
      </c>
      <c r="T44" s="24">
        <v>1.1300000000000001E-11</v>
      </c>
      <c r="U44" s="24">
        <v>8.5999999999999997E-12</v>
      </c>
      <c r="V44" s="24">
        <v>8.2999999999999998E-12</v>
      </c>
      <c r="W44" s="24">
        <v>1.0899999999999999E-11</v>
      </c>
      <c r="X44" s="24">
        <v>1.1100000000000001E-11</v>
      </c>
      <c r="Y44" s="24">
        <v>1.4371905000000001E-11</v>
      </c>
      <c r="Z44" s="24">
        <v>1.4700000000000002E-11</v>
      </c>
      <c r="AA44" s="24">
        <v>1.52E-11</v>
      </c>
      <c r="AB44" s="24">
        <v>9.9999999999999994E-12</v>
      </c>
      <c r="AC44" s="24">
        <v>8.305153638380714E-12</v>
      </c>
      <c r="AD44" s="24">
        <v>1.1524797825802022E-11</v>
      </c>
      <c r="AE44" s="24">
        <v>1.4897147640903234E-11</v>
      </c>
      <c r="AF44" s="24">
        <v>1.3585699999999999E-11</v>
      </c>
      <c r="AG44" s="24">
        <v>9.5616999999999995E-12</v>
      </c>
      <c r="AH44" s="24">
        <v>1.1605899999999999E-11</v>
      </c>
      <c r="AI44" s="24">
        <v>1.5142600000000001E-11</v>
      </c>
      <c r="AJ44" s="24">
        <v>1.4630900000000001E-11</v>
      </c>
      <c r="AK44" s="24">
        <v>7.2301889253044684E-12</v>
      </c>
      <c r="AL44" s="24">
        <v>1.8543100000000001E-11</v>
      </c>
      <c r="AM44" s="24">
        <v>2.2886299999999998E-11</v>
      </c>
      <c r="AN44" s="24"/>
      <c r="AO44" s="24">
        <v>1.065012427319693E-11</v>
      </c>
      <c r="AP44" s="24">
        <v>1.21648E-11</v>
      </c>
      <c r="AQ44" s="24"/>
      <c r="AR44" s="24">
        <v>9.7895999999999994E-12</v>
      </c>
      <c r="AS44" s="24">
        <v>1.305E-11</v>
      </c>
      <c r="AT44" s="24"/>
      <c r="AU44" s="24"/>
      <c r="AV44" s="24"/>
      <c r="AW44" s="1"/>
      <c r="AX44" s="1"/>
      <c r="AZ44" s="24">
        <v>1.63368E-11</v>
      </c>
      <c r="BA44" s="24">
        <v>1.3585699999999999E-11</v>
      </c>
      <c r="BB44" s="24">
        <v>9.5616999999999995E-12</v>
      </c>
      <c r="BC44" s="24">
        <v>1.1605899999999999E-11</v>
      </c>
      <c r="BD44" s="24">
        <v>1.5142600000000001E-11</v>
      </c>
      <c r="BE44" s="24">
        <v>1.11102E-11</v>
      </c>
      <c r="BF44" s="24">
        <v>1.4678500000000001E-11</v>
      </c>
      <c r="BG44" s="24">
        <v>7.3118000000000004E-12</v>
      </c>
      <c r="BH44" s="24"/>
      <c r="BI44" s="24">
        <v>1.0614200000000001E-11</v>
      </c>
    </row>
    <row r="45" spans="1:61" ht="15.75" x14ac:dyDescent="0.3">
      <c r="A45" s="23" t="s">
        <v>248</v>
      </c>
      <c r="B45" s="16" t="s">
        <v>241</v>
      </c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  <c r="R45" s="24">
        <v>1.3490520852383883E-11</v>
      </c>
      <c r="S45" s="24">
        <v>-4.6999999999999998E-12</v>
      </c>
      <c r="T45" s="24">
        <v>-5.4999999999999996E-12</v>
      </c>
      <c r="U45" s="24">
        <v>-3.5E-12</v>
      </c>
      <c r="V45" s="24">
        <v>-3.1000000000000001E-12</v>
      </c>
      <c r="W45" s="24">
        <v>-4.8999999999999997E-12</v>
      </c>
      <c r="X45" s="24">
        <v>-5.5000000000000004E-12</v>
      </c>
      <c r="Y45" s="24">
        <v>-7.3240950000000006E-12</v>
      </c>
      <c r="Z45" s="24">
        <v>-8.2999999999999998E-12</v>
      </c>
      <c r="AA45" s="24">
        <v>-7.77032E-12</v>
      </c>
      <c r="AB45" s="24">
        <v>-5.3999999999999996E-12</v>
      </c>
      <c r="AC45" s="24">
        <v>-2.3395638301026324E-12</v>
      </c>
      <c r="AD45" s="24">
        <v>-4.1392908234080157E-12</v>
      </c>
      <c r="AE45" s="24">
        <v>-8.1592711927706677E-12</v>
      </c>
      <c r="AF45" s="24">
        <v>-7.0611999999999998E-12</v>
      </c>
      <c r="AG45" s="24">
        <v>-4.0248000000000004E-12</v>
      </c>
      <c r="AH45" s="24">
        <v>-5.7400999999999997E-12</v>
      </c>
      <c r="AI45" s="24">
        <v>-8.4118999999999997E-12</v>
      </c>
      <c r="AJ45" s="24">
        <v>-8.0228499999999991E-12</v>
      </c>
      <c r="AK45" s="24">
        <v>-1.6260502317340811E-12</v>
      </c>
      <c r="AL45" s="24">
        <v>-7.2124000000000002E-12</v>
      </c>
      <c r="AM45" s="24">
        <v>-9.8051999999999995E-12</v>
      </c>
      <c r="AN45" s="24"/>
      <c r="AO45" s="24">
        <v>-2.2711965794005612E-12</v>
      </c>
      <c r="AP45" s="24">
        <v>-6.0425000000000006E-12</v>
      </c>
      <c r="AQ45" s="24"/>
      <c r="AR45" s="24">
        <v>-4.3306000000000001E-12</v>
      </c>
      <c r="AS45" s="24">
        <v>-7.6799999999999996E-12</v>
      </c>
      <c r="AT45" s="24"/>
      <c r="AU45" s="24"/>
      <c r="AV45" s="24"/>
      <c r="AW45" s="1"/>
      <c r="AX45" s="1"/>
      <c r="AZ45" s="24">
        <v>-9.6681000000000008E-12</v>
      </c>
      <c r="BA45" s="24">
        <v>-7.0611999999999998E-12</v>
      </c>
      <c r="BB45" s="24">
        <v>-4.0248000000000004E-12</v>
      </c>
      <c r="BC45" s="24">
        <v>-5.7400999999999997E-12</v>
      </c>
      <c r="BD45" s="24">
        <v>-8.4118999999999997E-12</v>
      </c>
      <c r="BE45" s="24">
        <v>-5.1984999999999997E-12</v>
      </c>
      <c r="BF45" s="24">
        <v>-8.0995000000000004E-12</v>
      </c>
      <c r="BG45" s="24">
        <v>-1.6285E-12</v>
      </c>
      <c r="BH45" s="24"/>
      <c r="BI45" s="24">
        <v>-2.2851E-12</v>
      </c>
    </row>
    <row r="46" spans="1:61" ht="15.75" x14ac:dyDescent="0.3">
      <c r="A46" s="23" t="s">
        <v>249</v>
      </c>
      <c r="B46" s="16" t="s">
        <v>241</v>
      </c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>
        <v>-6.4094791476161141E-12</v>
      </c>
      <c r="S46" s="24">
        <v>-2.4999999999999998E-12</v>
      </c>
      <c r="T46" s="24">
        <v>-1.9E-12</v>
      </c>
      <c r="U46" s="24">
        <v>-2.6000000000000002E-12</v>
      </c>
      <c r="V46" s="24">
        <v>-1.9E-12</v>
      </c>
      <c r="W46" s="24">
        <v>-1.8E-12</v>
      </c>
      <c r="X46" s="24">
        <v>-2.2999999999999999E-12</v>
      </c>
      <c r="Y46" s="24">
        <v>-3.4443209191791395E-12</v>
      </c>
      <c r="Z46" s="24">
        <v>-2.4999999999999998E-12</v>
      </c>
      <c r="AA46" s="24">
        <v>-4.252834876891799E-12</v>
      </c>
      <c r="AB46" s="24">
        <v>-2.6999999999999998E-12</v>
      </c>
      <c r="AC46" s="24">
        <v>-3.6998224863177025E-12</v>
      </c>
      <c r="AD46" s="24">
        <v>-2.1804485753459057E-12</v>
      </c>
      <c r="AE46" s="24">
        <v>-4.245048516830431E-12</v>
      </c>
      <c r="AF46" s="24">
        <v>-3.9669E-12</v>
      </c>
      <c r="AG46" s="24">
        <v>-2.4647000000000002E-12</v>
      </c>
      <c r="AH46" s="24">
        <v>-3.4726E-12</v>
      </c>
      <c r="AI46" s="24">
        <v>-4.0795000000000001E-12</v>
      </c>
      <c r="AJ46" s="24">
        <v>-3.52955E-12</v>
      </c>
      <c r="AK46" s="24">
        <v>-3.681115207582513E-13</v>
      </c>
      <c r="AL46" s="24">
        <v>-5.1607E-12</v>
      </c>
      <c r="AM46" s="24">
        <v>-6.9985000000000001E-12</v>
      </c>
      <c r="AN46" s="24"/>
      <c r="AO46" s="24">
        <v>-3.3302611050090453E-12</v>
      </c>
      <c r="AP46" s="24">
        <v>-3.0915999999999999E-12</v>
      </c>
      <c r="AQ46" s="24"/>
      <c r="AR46" s="24">
        <v>-2.9092000000000002E-12</v>
      </c>
      <c r="AS46" s="24">
        <v>-2.7299999999999999E-12</v>
      </c>
      <c r="AT46" s="24"/>
      <c r="AU46" s="24"/>
      <c r="AV46" s="24"/>
      <c r="AW46" s="1"/>
      <c r="AX46" s="1"/>
      <c r="AZ46" s="24">
        <v>-2.8010999999999998E-12</v>
      </c>
      <c r="BA46" s="24">
        <v>-3.9669E-12</v>
      </c>
      <c r="BB46" s="24">
        <v>-2.4647000000000002E-12</v>
      </c>
      <c r="BC46" s="24">
        <v>-3.4726E-12</v>
      </c>
      <c r="BD46" s="24">
        <v>-4.0795000000000001E-12</v>
      </c>
      <c r="BE46" s="24">
        <v>-3.0130000000000002E-12</v>
      </c>
      <c r="BF46" s="24">
        <v>-3.3040000000000001E-12</v>
      </c>
      <c r="BG46" s="24">
        <v>-4.0269999999999999E-13</v>
      </c>
      <c r="BH46" s="24"/>
      <c r="BI46" s="24">
        <v>-1.1965400000000001E-11</v>
      </c>
    </row>
    <row r="47" spans="1:61" ht="15.75" x14ac:dyDescent="0.3">
      <c r="A47" s="23" t="s">
        <v>250</v>
      </c>
      <c r="B47" s="16" t="s">
        <v>241</v>
      </c>
      <c r="C47" s="24">
        <v>9.4000000000000011E-12</v>
      </c>
      <c r="D47" s="24">
        <v>8.9999999999999996E-12</v>
      </c>
      <c r="E47" s="24">
        <v>9.9999999999999994E-12</v>
      </c>
      <c r="F47" s="24">
        <v>8.1999999999999998E-12</v>
      </c>
      <c r="G47" s="24">
        <v>8.4773539121167374E-12</v>
      </c>
      <c r="H47" s="24">
        <v>7.7999999999999999E-12</v>
      </c>
      <c r="I47" s="24">
        <v>8.5310080508010199E-12</v>
      </c>
      <c r="J47" s="24">
        <v>7.7999999999999999E-12</v>
      </c>
      <c r="K47" s="24">
        <v>7.5999999999999999E-12</v>
      </c>
      <c r="L47" s="24">
        <v>8.3999999999999998E-12</v>
      </c>
      <c r="M47" s="24">
        <v>8.4773539121167374E-12</v>
      </c>
      <c r="N47" s="24">
        <v>9.4999999999999995E-12</v>
      </c>
      <c r="O47" s="24">
        <v>8.3000000000000014E-12</v>
      </c>
      <c r="P47" s="24">
        <v>8.1999999999999998E-12</v>
      </c>
      <c r="Q47" s="24">
        <v>8.5999999999999997E-12</v>
      </c>
      <c r="R47" s="24">
        <v>9.4999999999999995E-12</v>
      </c>
      <c r="S47" s="24">
        <v>8.4999999999999997E-12</v>
      </c>
      <c r="T47" s="24">
        <v>8.6999999999999997E-12</v>
      </c>
      <c r="U47" s="24">
        <v>8.1999999999999998E-12</v>
      </c>
      <c r="V47" s="24">
        <v>7.5E-12</v>
      </c>
      <c r="W47" s="24">
        <v>7.7999999999999999E-12</v>
      </c>
      <c r="X47" s="24">
        <v>8.5999999999999997E-12</v>
      </c>
      <c r="Y47" s="24">
        <v>9.6361200000000012E-12</v>
      </c>
      <c r="Z47" s="24">
        <v>1.0099999999999999E-11</v>
      </c>
      <c r="AA47" s="24">
        <v>1.0799999999999999E-11</v>
      </c>
      <c r="AB47" s="24">
        <v>7.8999999999999999E-12</v>
      </c>
      <c r="AC47" s="24">
        <v>1.0885026784793686E-11</v>
      </c>
      <c r="AD47" s="24">
        <v>7.576860286100737E-12</v>
      </c>
      <c r="AE47" s="24">
        <v>1.2192427946087881E-11</v>
      </c>
      <c r="AF47" s="24">
        <v>1.13025E-11</v>
      </c>
      <c r="AG47" s="24">
        <v>7.7132000000000007E-12</v>
      </c>
      <c r="AH47" s="24">
        <v>1.04596E-11</v>
      </c>
      <c r="AI47" s="24">
        <v>1.18692E-11</v>
      </c>
      <c r="AJ47" s="24">
        <v>1.032205E-11</v>
      </c>
      <c r="AK47" s="24">
        <v>5.8896374652525094E-12</v>
      </c>
      <c r="AL47" s="24">
        <v>1.7720599999999999E-11</v>
      </c>
      <c r="AM47" s="24">
        <v>2.2584599999999997E-11</v>
      </c>
      <c r="AN47" s="24"/>
      <c r="AO47" s="24">
        <v>1.2035650518696955E-11</v>
      </c>
      <c r="AP47" s="24">
        <v>9.5403000000000005E-12</v>
      </c>
      <c r="AQ47" s="24"/>
      <c r="AR47" s="24">
        <v>8.803952331296002E-12</v>
      </c>
      <c r="AS47" s="24">
        <v>1.802E-11</v>
      </c>
      <c r="AT47" s="24"/>
      <c r="AU47" s="24"/>
      <c r="AV47" s="24"/>
      <c r="AW47" s="1"/>
      <c r="AX47" s="1"/>
      <c r="AZ47" s="24">
        <v>9.3872999999999998E-12</v>
      </c>
      <c r="BA47" s="24">
        <v>1.13025E-11</v>
      </c>
      <c r="BB47" s="24">
        <v>7.7132000000000007E-12</v>
      </c>
      <c r="BC47" s="24">
        <v>1.04596E-11</v>
      </c>
      <c r="BD47" s="24">
        <v>1.18692E-11</v>
      </c>
      <c r="BE47" s="24">
        <v>9.6471999999999995E-12</v>
      </c>
      <c r="BF47" s="24">
        <v>9.9433999999999998E-12</v>
      </c>
      <c r="BG47" s="24">
        <v>6.1574000000000004E-12</v>
      </c>
      <c r="BH47" s="24"/>
      <c r="BI47" s="24">
        <v>4.38996E-11</v>
      </c>
    </row>
    <row r="48" spans="1:61" ht="15.75" x14ac:dyDescent="0.3">
      <c r="A48" s="23" t="s">
        <v>251</v>
      </c>
      <c r="B48" s="16" t="s">
        <v>241</v>
      </c>
      <c r="C48" s="24">
        <v>2.5399999999999998E-11</v>
      </c>
      <c r="D48" s="24">
        <v>2.5116000000000001E-11</v>
      </c>
      <c r="E48" s="24">
        <v>2.3399999999999998E-11</v>
      </c>
      <c r="F48" s="24">
        <v>2.05E-11</v>
      </c>
      <c r="G48" s="24">
        <v>2.2399999999999998E-11</v>
      </c>
      <c r="H48" s="24">
        <v>2.11E-11</v>
      </c>
      <c r="I48" s="24">
        <v>2.0600000000000002E-11</v>
      </c>
      <c r="J48" s="24">
        <v>2.0081250000000001E-11</v>
      </c>
      <c r="K48" s="24">
        <v>2.2002749999999996E-11</v>
      </c>
      <c r="L48" s="24">
        <v>2.2256639999999995E-11</v>
      </c>
      <c r="M48" s="24">
        <v>2.0600000000000002E-11</v>
      </c>
      <c r="N48" s="24" t="s">
        <v>155</v>
      </c>
      <c r="O48" s="24" t="s">
        <v>155</v>
      </c>
      <c r="P48" s="24" t="s">
        <v>155</v>
      </c>
      <c r="Q48" s="24" t="s">
        <v>155</v>
      </c>
      <c r="R48" s="24" t="s">
        <v>155</v>
      </c>
      <c r="S48" s="24">
        <v>2.1399999999999998E-11</v>
      </c>
      <c r="T48" s="24">
        <v>2.0999999999999999E-11</v>
      </c>
      <c r="U48" s="24">
        <v>2.11E-11</v>
      </c>
      <c r="V48" s="24">
        <v>1.7300000000000001E-11</v>
      </c>
      <c r="W48" s="24">
        <v>2.31E-11</v>
      </c>
      <c r="X48" s="24">
        <v>2.0799999999999999E-11</v>
      </c>
      <c r="Y48" s="24">
        <v>2.288329519450801E-11</v>
      </c>
      <c r="Z48" s="24">
        <v>1.64E-11</v>
      </c>
      <c r="AA48" s="24">
        <v>2.29E-11</v>
      </c>
      <c r="AB48" s="24">
        <v>2.31E-11</v>
      </c>
      <c r="AC48" s="24">
        <v>1.8907243187396495E-11</v>
      </c>
      <c r="AD48" s="24"/>
      <c r="AE48" s="24">
        <v>2.4825387069685455E-11</v>
      </c>
      <c r="AF48" s="24">
        <v>2.439817288265241E-11</v>
      </c>
      <c r="AG48" s="24">
        <v>2.3096431732397131E-11</v>
      </c>
      <c r="AH48" s="24">
        <v>2.3055524107883603E-11</v>
      </c>
      <c r="AI48" s="24">
        <v>2.7339584985099927E-11</v>
      </c>
      <c r="AJ48" s="24">
        <v>2.974172125616138E-11</v>
      </c>
      <c r="AK48" s="24">
        <v>1.6314395872080322E-11</v>
      </c>
      <c r="AL48" s="24">
        <v>3.4924764031566199E-11</v>
      </c>
      <c r="AM48" s="24">
        <v>4.45126279273201E-11</v>
      </c>
      <c r="AN48" s="24"/>
      <c r="AO48" s="24">
        <v>2.6157890249490523E-11</v>
      </c>
      <c r="AP48" s="24">
        <v>2.3253291276627324E-11</v>
      </c>
      <c r="AQ48" s="24"/>
      <c r="AR48" s="24">
        <v>1.8526319345073599E-11</v>
      </c>
      <c r="AS48" s="24">
        <v>4.1459999999999998E-11</v>
      </c>
      <c r="AT48" s="24"/>
      <c r="AU48" s="24"/>
      <c r="AV48" s="24"/>
      <c r="AW48" s="1"/>
      <c r="AX48" s="1"/>
      <c r="AZ48" s="24">
        <v>2.4805893880385978E-11</v>
      </c>
      <c r="BA48" s="24">
        <v>2.4393218685205512E-11</v>
      </c>
      <c r="BB48" s="24">
        <v>2.051576636645262E-11</v>
      </c>
      <c r="BC48" s="24">
        <v>2.3050503653504828E-11</v>
      </c>
      <c r="BD48" s="24">
        <v>2.7339584985099927E-11</v>
      </c>
      <c r="BE48" s="24">
        <v>2.2697868670131875E-11</v>
      </c>
      <c r="BF48" s="24">
        <v>2.9761904761904763E-11</v>
      </c>
      <c r="BG48" s="24">
        <v>1.6313479828382191E-11</v>
      </c>
      <c r="BH48" s="24"/>
      <c r="BI48" s="24">
        <v>2.6157467957101753E-11</v>
      </c>
    </row>
    <row r="49" spans="1:61" ht="15.75" x14ac:dyDescent="0.3">
      <c r="A49" s="23" t="s">
        <v>252</v>
      </c>
      <c r="B49" s="16" t="s">
        <v>253</v>
      </c>
      <c r="C49" s="24">
        <v>128300858427.57869</v>
      </c>
      <c r="D49" s="24">
        <v>144605708004.06531</v>
      </c>
      <c r="E49" s="24">
        <v>113044529283.29694</v>
      </c>
      <c r="F49" s="24">
        <v>134000000000</v>
      </c>
      <c r="G49" s="24">
        <v>141998127939.90445</v>
      </c>
      <c r="H49" s="24">
        <v>136427267752.54428</v>
      </c>
      <c r="I49" s="24">
        <v>137648588563.06067</v>
      </c>
      <c r="J49" s="24">
        <v>132062270167.32664</v>
      </c>
      <c r="K49" s="24">
        <v>149000000000</v>
      </c>
      <c r="L49" s="24">
        <v>151000000000</v>
      </c>
      <c r="M49" s="24"/>
      <c r="N49" s="24">
        <v>131579513351.86009</v>
      </c>
      <c r="O49" s="24">
        <v>91523517641.972778</v>
      </c>
      <c r="P49" s="24">
        <v>104498716087.06212</v>
      </c>
      <c r="Q49" s="24">
        <v>96979624654.203522</v>
      </c>
      <c r="R49" s="24">
        <v>156616750821.25348</v>
      </c>
      <c r="S49" s="24">
        <v>152000000000</v>
      </c>
      <c r="T49" s="24">
        <v>122000000000</v>
      </c>
      <c r="U49" s="24">
        <v>184000000000</v>
      </c>
      <c r="V49" s="24">
        <v>156000000000</v>
      </c>
      <c r="W49" s="24">
        <v>131000000000</v>
      </c>
      <c r="X49" s="24">
        <v>145000000000</v>
      </c>
      <c r="Y49" s="24">
        <v>128747234513.274</v>
      </c>
      <c r="Z49" s="24">
        <v>110000000000</v>
      </c>
      <c r="AA49" s="24">
        <v>135418734696.57863</v>
      </c>
      <c r="AB49" s="24">
        <v>204000000000</v>
      </c>
      <c r="AC49" s="24">
        <v>188903955358.90692</v>
      </c>
      <c r="AD49" s="24">
        <v>113110980267.9429</v>
      </c>
      <c r="AE49" s="24">
        <v>153099966761.92734</v>
      </c>
      <c r="AF49" s="24">
        <v>157424806699.46066</v>
      </c>
      <c r="AG49" s="24">
        <v>162009558280.79272</v>
      </c>
      <c r="AH49" s="24">
        <v>168001562945.76093</v>
      </c>
      <c r="AI49" s="24">
        <v>147391094711.82275</v>
      </c>
      <c r="AJ49" s="24">
        <v>139643545160.09781</v>
      </c>
      <c r="AK49" s="24">
        <v>146299492025.6937</v>
      </c>
      <c r="AL49" s="24">
        <v>79460814312.943115</v>
      </c>
      <c r="AM49" s="24">
        <v>72275041895.258728</v>
      </c>
      <c r="AN49" s="24"/>
      <c r="AO49" s="24">
        <v>114867001814.54897</v>
      </c>
      <c r="AP49" s="24">
        <v>146389653307.92398</v>
      </c>
      <c r="AQ49" s="24"/>
      <c r="AR49" s="24">
        <v>175798962842.10663</v>
      </c>
      <c r="AS49" s="24">
        <v>153100000000</v>
      </c>
      <c r="AT49" s="24"/>
      <c r="AU49" s="24"/>
      <c r="AV49" s="24"/>
      <c r="AW49" s="1"/>
      <c r="AX49" s="1"/>
      <c r="AZ49" s="24">
        <v>114194557651.38478</v>
      </c>
      <c r="BA49" s="24">
        <v>157424806699.46066</v>
      </c>
      <c r="BB49" s="24">
        <v>162009558280.79272</v>
      </c>
      <c r="BC49" s="24">
        <v>168001562945.76093</v>
      </c>
      <c r="BD49" s="24">
        <v>147391094711.82275</v>
      </c>
      <c r="BE49" s="24">
        <v>151856642515.28326</v>
      </c>
      <c r="BF49" s="24">
        <v>133650956615.21121</v>
      </c>
      <c r="BG49" s="24">
        <v>144649011222.09827</v>
      </c>
      <c r="BH49" s="24"/>
      <c r="BI49" s="24">
        <v>313141803798.51007</v>
      </c>
    </row>
    <row r="50" spans="1:61" ht="15.75" x14ac:dyDescent="0.3">
      <c r="A50" s="23" t="s">
        <v>254</v>
      </c>
      <c r="B50" s="16" t="s">
        <v>253</v>
      </c>
      <c r="C50" s="24">
        <v>79520370622.700653</v>
      </c>
      <c r="D50" s="24">
        <v>94100657499.014786</v>
      </c>
      <c r="E50" s="24">
        <v>67589983828.751488</v>
      </c>
      <c r="F50" s="24">
        <v>87983716301.791183</v>
      </c>
      <c r="G50" s="24">
        <v>94379080320.856842</v>
      </c>
      <c r="H50" s="24">
        <v>89033902823.634308</v>
      </c>
      <c r="I50" s="24">
        <v>89325620838.113068</v>
      </c>
      <c r="J50" s="24">
        <v>83099560261.681</v>
      </c>
      <c r="K50" s="24">
        <v>98000000000</v>
      </c>
      <c r="L50" s="24">
        <v>99000000000</v>
      </c>
      <c r="M50" s="24"/>
      <c r="N50" s="24">
        <v>70774267807.589142</v>
      </c>
      <c r="O50" s="24">
        <v>12791517641.972776</v>
      </c>
      <c r="P50" s="24">
        <v>44922182908.236221</v>
      </c>
      <c r="Q50" s="24">
        <v>39253566249.455833</v>
      </c>
      <c r="R50" s="24">
        <v>106365494539.84647</v>
      </c>
      <c r="S50" s="24">
        <v>85000000000</v>
      </c>
      <c r="T50" s="24">
        <v>63000000000</v>
      </c>
      <c r="U50" s="24">
        <v>101000000000</v>
      </c>
      <c r="V50" s="24">
        <v>69000000000</v>
      </c>
      <c r="W50" s="24">
        <v>68000000000</v>
      </c>
      <c r="X50" s="24">
        <v>85000000000</v>
      </c>
      <c r="Y50" s="24">
        <v>82655789085.545715</v>
      </c>
      <c r="Z50" s="24">
        <v>66000000000</v>
      </c>
      <c r="AA50" s="24">
        <v>91940473827.013428</v>
      </c>
      <c r="AB50" s="24">
        <v>139000000000</v>
      </c>
      <c r="AC50" s="24">
        <v>94960644701.693283</v>
      </c>
      <c r="AD50" s="24">
        <v>49270687838.901314</v>
      </c>
      <c r="AE50" s="24">
        <v>109728096775.79141</v>
      </c>
      <c r="AF50" s="24">
        <v>108991151120.87219</v>
      </c>
      <c r="AG50" s="24">
        <v>88407085237.698471</v>
      </c>
      <c r="AH50" s="24">
        <v>110351384230.20692</v>
      </c>
      <c r="AI50" s="24">
        <v>104936542310.16872</v>
      </c>
      <c r="AJ50" s="24">
        <v>95500840624.876358</v>
      </c>
      <c r="AK50" s="24">
        <v>33384745453.471317</v>
      </c>
      <c r="AL50" s="24">
        <v>40634155929.296913</v>
      </c>
      <c r="AM50" s="24">
        <v>41686050873.127586</v>
      </c>
      <c r="AN50" s="24"/>
      <c r="AO50" s="24">
        <v>37475532985.030945</v>
      </c>
      <c r="AP50" s="24">
        <v>91466627927.993958</v>
      </c>
      <c r="AQ50" s="24"/>
      <c r="AR50" s="24">
        <v>104977934662.41951</v>
      </c>
      <c r="AS50" s="24">
        <v>104900000000</v>
      </c>
      <c r="AT50" s="24"/>
      <c r="AU50" s="24"/>
      <c r="AV50" s="24"/>
      <c r="AW50" s="1"/>
      <c r="AX50" s="1"/>
      <c r="AZ50" s="24">
        <v>75740266344.746414</v>
      </c>
      <c r="BA50" s="24">
        <v>108991151120.87219</v>
      </c>
      <c r="BB50" s="24">
        <v>88407085237.698471</v>
      </c>
      <c r="BC50" s="24">
        <v>110351384230.20692</v>
      </c>
      <c r="BD50" s="24">
        <v>104936542310.16872</v>
      </c>
      <c r="BE50" s="24">
        <v>90539300744.68367</v>
      </c>
      <c r="BF50" s="24">
        <v>89748945903.12059</v>
      </c>
      <c r="BG50" s="24">
        <v>32794690289.680622</v>
      </c>
      <c r="BH50" s="24"/>
      <c r="BI50" s="24">
        <v>235618217247.30194</v>
      </c>
    </row>
    <row r="51" spans="1:61" ht="15.75" x14ac:dyDescent="0.3">
      <c r="A51" s="23" t="s">
        <v>255</v>
      </c>
      <c r="B51" s="16" t="s">
        <v>253</v>
      </c>
      <c r="C51" s="24">
        <v>70000000000</v>
      </c>
      <c r="D51" s="24">
        <v>94000000000</v>
      </c>
      <c r="E51" s="24">
        <v>61000000000</v>
      </c>
      <c r="F51" s="24">
        <v>86000000000</v>
      </c>
      <c r="G51" s="24">
        <v>93000000000</v>
      </c>
      <c r="H51" s="24">
        <v>85000000000</v>
      </c>
      <c r="I51" s="24">
        <v>79000000000</v>
      </c>
      <c r="J51" s="24">
        <v>81000000000</v>
      </c>
      <c r="K51" s="24">
        <v>98000000000</v>
      </c>
      <c r="L51" s="24">
        <v>98000000000</v>
      </c>
      <c r="M51" s="24"/>
      <c r="N51" s="24">
        <v>60000000000</v>
      </c>
      <c r="O51" s="24" t="s">
        <v>155</v>
      </c>
      <c r="P51" s="24">
        <v>61700000000</v>
      </c>
      <c r="Q51" s="24">
        <v>61800000000</v>
      </c>
      <c r="R51" s="24">
        <v>106794820451.2081</v>
      </c>
      <c r="S51" s="24">
        <v>84000000000</v>
      </c>
      <c r="T51" s="24">
        <v>58000000000</v>
      </c>
      <c r="U51" s="24">
        <v>96000000000</v>
      </c>
      <c r="V51" s="24">
        <v>70000000000</v>
      </c>
      <c r="W51" s="24">
        <v>74000000000</v>
      </c>
      <c r="X51" s="24">
        <v>82000000000</v>
      </c>
      <c r="Y51" s="24">
        <v>88547068419.295654</v>
      </c>
      <c r="Z51" s="24">
        <v>63000000000</v>
      </c>
      <c r="AA51" s="24">
        <v>94178082191.780807</v>
      </c>
      <c r="AB51" s="24">
        <v>123000000000</v>
      </c>
      <c r="AC51" s="24">
        <v>90093436142.287994</v>
      </c>
      <c r="AD51" s="24">
        <v>50517389235.045433</v>
      </c>
      <c r="AE51" s="24">
        <v>97045599584.52121</v>
      </c>
      <c r="AF51" s="24">
        <v>97730490793.649094</v>
      </c>
      <c r="AG51" s="24">
        <v>87496454029.103348</v>
      </c>
      <c r="AH51" s="24">
        <v>99905325215.003815</v>
      </c>
      <c r="AI51" s="24">
        <v>93661441729.151062</v>
      </c>
      <c r="AJ51" s="24">
        <v>89762821430.608887</v>
      </c>
      <c r="AK51" s="24">
        <v>13113262791.299067</v>
      </c>
      <c r="AL51" s="24">
        <v>34439188887.130043</v>
      </c>
      <c r="AM51" s="24">
        <v>33427395070.891472</v>
      </c>
      <c r="AN51" s="24"/>
      <c r="AO51" s="24">
        <v>41284826930.686157</v>
      </c>
      <c r="AP51" s="24">
        <v>88185521090.785706</v>
      </c>
      <c r="AQ51" s="24"/>
      <c r="AR51" s="24">
        <v>99874170719.29129</v>
      </c>
      <c r="AS51" s="24">
        <v>103900000000</v>
      </c>
      <c r="AT51" s="24"/>
      <c r="AU51" s="24"/>
      <c r="AV51" s="24"/>
      <c r="AW51" s="1"/>
      <c r="AX51" s="1"/>
      <c r="AZ51" s="24">
        <v>72357482119.806046</v>
      </c>
      <c r="BA51" s="24">
        <v>97730490793.649094</v>
      </c>
      <c r="BB51" s="24">
        <v>87496454029.103348</v>
      </c>
      <c r="BC51" s="24">
        <v>99905325215.003815</v>
      </c>
      <c r="BD51" s="24">
        <v>93661441729.151062</v>
      </c>
      <c r="BE51" s="24">
        <v>87449556628.680527</v>
      </c>
      <c r="BF51" s="24">
        <v>85728525290.001099</v>
      </c>
      <c r="BG51" s="24">
        <v>13014367585.936508</v>
      </c>
      <c r="BH51" s="24"/>
      <c r="BI51" s="24">
        <v>148934810344.7193</v>
      </c>
    </row>
    <row r="52" spans="1:61" ht="15.75" x14ac:dyDescent="0.3">
      <c r="A52" s="23" t="s">
        <v>256</v>
      </c>
      <c r="B52" s="16" t="s">
        <v>253</v>
      </c>
      <c r="C52" s="24">
        <v>118000000000</v>
      </c>
      <c r="D52" s="24">
        <v>136000000000</v>
      </c>
      <c r="E52" s="24">
        <v>104529616724.73871</v>
      </c>
      <c r="F52" s="24">
        <v>121000000000</v>
      </c>
      <c r="G52" s="24">
        <v>136000000000</v>
      </c>
      <c r="H52" s="24">
        <v>122000000000</v>
      </c>
      <c r="I52" s="24">
        <v>125000000000</v>
      </c>
      <c r="J52" s="24">
        <v>120000000000</v>
      </c>
      <c r="K52" s="24">
        <v>136000000000</v>
      </c>
      <c r="L52" s="24">
        <v>137000000000</v>
      </c>
      <c r="M52" s="24"/>
      <c r="N52" s="24">
        <v>123000000000</v>
      </c>
      <c r="O52" s="24" t="s">
        <v>155</v>
      </c>
      <c r="P52" s="24">
        <v>100000000000</v>
      </c>
      <c r="Q52" s="24">
        <v>76567770641.383698</v>
      </c>
      <c r="R52" s="24">
        <v>137498331330.93042</v>
      </c>
      <c r="S52" s="24">
        <v>148000000000</v>
      </c>
      <c r="T52" s="24">
        <v>112000000000</v>
      </c>
      <c r="U52" s="24">
        <v>159000000000</v>
      </c>
      <c r="V52" s="24">
        <v>149000000000</v>
      </c>
      <c r="W52" s="24">
        <v>123000000000</v>
      </c>
      <c r="X52" s="24">
        <v>121000000000</v>
      </c>
      <c r="Y52" s="24">
        <v>121125000000</v>
      </c>
      <c r="Z52" s="24">
        <v>92000000000</v>
      </c>
      <c r="AA52" s="24">
        <v>119863013698.63013</v>
      </c>
      <c r="AB52" s="24">
        <v>156000000000</v>
      </c>
      <c r="AC52" s="24">
        <v>135041282971.85925</v>
      </c>
      <c r="AD52" s="24">
        <v>124257982077.60768</v>
      </c>
      <c r="AE52" s="24">
        <v>114923716851.65839</v>
      </c>
      <c r="AF52" s="24">
        <v>123257470280.10738</v>
      </c>
      <c r="AG52" s="24">
        <v>134466000000</v>
      </c>
      <c r="AH52" s="24">
        <v>122636143126.23335</v>
      </c>
      <c r="AI52" s="24">
        <v>112634000000</v>
      </c>
      <c r="AJ52" s="24">
        <v>111253559322.15416</v>
      </c>
      <c r="AK52" s="24">
        <v>141185471028.3898</v>
      </c>
      <c r="AL52" s="24">
        <v>55037189323.024963</v>
      </c>
      <c r="AM52" s="24">
        <v>46296000000</v>
      </c>
      <c r="AN52" s="24"/>
      <c r="AO52" s="24">
        <v>103158176228.20023</v>
      </c>
      <c r="AP52" s="24">
        <v>119181000000.00002</v>
      </c>
      <c r="AQ52" s="24">
        <v>87235322971.813004</v>
      </c>
      <c r="AR52" s="24">
        <v>133891907870.91989</v>
      </c>
      <c r="AS52" s="24">
        <v>136900000000</v>
      </c>
      <c r="AT52" s="24"/>
      <c r="AU52" s="24"/>
      <c r="AV52" s="24"/>
      <c r="AW52" s="1"/>
      <c r="AX52" s="1"/>
      <c r="AZ52" s="24">
        <v>110769000000</v>
      </c>
      <c r="BA52" s="24">
        <v>123257470280.10738</v>
      </c>
      <c r="BB52" s="24">
        <v>134466000000</v>
      </c>
      <c r="BC52" s="24">
        <v>122636143126.23335</v>
      </c>
      <c r="BD52" s="24">
        <v>112634000000</v>
      </c>
      <c r="BE52" s="24">
        <v>117769000000</v>
      </c>
      <c r="BF52" s="24">
        <v>109448223166.54044</v>
      </c>
      <c r="BG52" s="24">
        <v>138769731777.4928</v>
      </c>
      <c r="BH52" s="24"/>
      <c r="BI52" s="24">
        <v>103450558202.99065</v>
      </c>
    </row>
    <row r="53" spans="1:61" ht="15.75" x14ac:dyDescent="0.3">
      <c r="A53" s="23" t="s">
        <v>257</v>
      </c>
      <c r="B53" s="16" t="s">
        <v>253</v>
      </c>
      <c r="C53" s="24">
        <v>27027027027.027027</v>
      </c>
      <c r="D53" s="24">
        <v>25000000000</v>
      </c>
      <c r="E53" s="24">
        <v>20618556701.030926</v>
      </c>
      <c r="F53" s="24">
        <v>19083969465.648857</v>
      </c>
      <c r="G53" s="24">
        <v>21500000000.000004</v>
      </c>
      <c r="H53" s="24">
        <v>18518518518.518517</v>
      </c>
      <c r="I53" s="24">
        <v>19762135922.330093</v>
      </c>
      <c r="J53" s="24">
        <v>21786492374.727669</v>
      </c>
      <c r="K53" s="24">
        <v>26246719160.104988</v>
      </c>
      <c r="L53" s="24">
        <v>24154589371.980679</v>
      </c>
      <c r="M53" s="24"/>
      <c r="N53" s="24" t="s">
        <v>155</v>
      </c>
      <c r="O53" s="24" t="s">
        <v>155</v>
      </c>
      <c r="P53" s="24" t="s">
        <v>155</v>
      </c>
      <c r="Q53" s="24" t="s">
        <v>155</v>
      </c>
      <c r="R53" s="24" t="s">
        <v>155</v>
      </c>
      <c r="S53" s="24">
        <v>37000000000</v>
      </c>
      <c r="T53" s="24">
        <v>35000000000</v>
      </c>
      <c r="U53" s="24">
        <v>41000000000</v>
      </c>
      <c r="V53" s="24">
        <v>33000000000</v>
      </c>
      <c r="W53" s="24">
        <v>29000000000</v>
      </c>
      <c r="X53" s="24">
        <v>25000000000</v>
      </c>
      <c r="Y53" s="24">
        <v>20452389352.378784</v>
      </c>
      <c r="Z53" s="24">
        <v>28000000000</v>
      </c>
      <c r="AA53" s="24">
        <v>20449897750.511246</v>
      </c>
      <c r="AB53" s="24">
        <v>29000000000</v>
      </c>
      <c r="AC53" s="24">
        <v>48573637143.409294</v>
      </c>
      <c r="AD53" s="24"/>
      <c r="AE53" s="24">
        <v>26291000000</v>
      </c>
      <c r="AF53" s="24">
        <v>25659000000</v>
      </c>
      <c r="AG53" s="24">
        <v>30843000000</v>
      </c>
      <c r="AH53" s="24">
        <v>30126000000</v>
      </c>
      <c r="AI53" s="24">
        <v>23013000000</v>
      </c>
      <c r="AJ53" s="24">
        <v>18500000000</v>
      </c>
      <c r="AK53" s="24">
        <v>58106000000</v>
      </c>
      <c r="AL53" s="24">
        <v>22405185655.957584</v>
      </c>
      <c r="AM53" s="24">
        <v>16429260686.975616</v>
      </c>
      <c r="AN53" s="24"/>
      <c r="AO53" s="24">
        <v>38151000000</v>
      </c>
      <c r="AP53" s="24">
        <v>25729449210.235245</v>
      </c>
      <c r="AQ53" s="24"/>
      <c r="AR53" s="24">
        <v>39138623547.644135</v>
      </c>
      <c r="AS53" s="24">
        <v>55500000000</v>
      </c>
      <c r="AT53" s="24"/>
      <c r="AU53" s="24"/>
      <c r="AV53" s="24"/>
      <c r="AW53" s="1"/>
      <c r="AX53" s="1"/>
      <c r="AZ53" s="24">
        <v>26291000000</v>
      </c>
      <c r="BA53" s="24">
        <v>25659000000</v>
      </c>
      <c r="BB53" s="24">
        <v>43532000000</v>
      </c>
      <c r="BC53" s="24">
        <v>30126000000</v>
      </c>
      <c r="BD53" s="24">
        <v>23013000000</v>
      </c>
      <c r="BE53" s="24">
        <v>26514000000</v>
      </c>
      <c r="BF53" s="24">
        <v>18500000000</v>
      </c>
      <c r="BG53" s="24">
        <v>58106000000</v>
      </c>
      <c r="BH53" s="24"/>
      <c r="BI53" s="24">
        <v>38151000000</v>
      </c>
    </row>
    <row r="54" spans="1:61" ht="15.75" x14ac:dyDescent="0.3">
      <c r="A54" s="23" t="s">
        <v>258</v>
      </c>
      <c r="B54" s="16" t="s">
        <v>253</v>
      </c>
      <c r="C54" s="24">
        <v>24390243902.439022</v>
      </c>
      <c r="D54" s="24">
        <v>25252525252.525249</v>
      </c>
      <c r="E54" s="24">
        <v>22727272727.272728</v>
      </c>
      <c r="F54" s="24">
        <v>22935779816.513756</v>
      </c>
      <c r="G54" s="24">
        <v>23809523809.523808</v>
      </c>
      <c r="H54" s="24">
        <v>23696682464.454975</v>
      </c>
      <c r="I54" s="24">
        <v>24161483862.473831</v>
      </c>
      <c r="J54" s="24">
        <v>24481354952.82283</v>
      </c>
      <c r="K54" s="24">
        <v>25773195876.288662</v>
      </c>
      <c r="L54" s="24">
        <v>26041666666.666668</v>
      </c>
      <c r="M54" s="24"/>
      <c r="N54" s="24">
        <v>30402622772.135456</v>
      </c>
      <c r="O54" s="24" t="s">
        <v>155</v>
      </c>
      <c r="P54" s="24">
        <v>29788266589.412956</v>
      </c>
      <c r="Q54" s="24">
        <v>28863029202.373833</v>
      </c>
      <c r="R54" s="24">
        <v>25125628140.703522</v>
      </c>
      <c r="S54" s="24">
        <v>34000000000</v>
      </c>
      <c r="T54" s="24">
        <v>30000000000</v>
      </c>
      <c r="U54" s="24">
        <v>42000000000</v>
      </c>
      <c r="V54" s="24">
        <v>44000000000</v>
      </c>
      <c r="W54" s="24">
        <v>32000000000</v>
      </c>
      <c r="X54" s="24">
        <v>30000000000</v>
      </c>
      <c r="Y54" s="24">
        <v>23045722713.864311</v>
      </c>
      <c r="Z54" s="24">
        <v>22000000000</v>
      </c>
      <c r="AA54" s="24">
        <v>113679604261.79602</v>
      </c>
      <c r="AB54" s="24">
        <v>32000000000</v>
      </c>
      <c r="AC54" s="24">
        <v>46971655328.606819</v>
      </c>
      <c r="AD54" s="24">
        <v>31920146214.520794</v>
      </c>
      <c r="AE54" s="24">
        <v>21685934993.067963</v>
      </c>
      <c r="AF54" s="24">
        <v>24216827789.294235</v>
      </c>
      <c r="AG54" s="24">
        <v>36801236521.547127</v>
      </c>
      <c r="AH54" s="24">
        <v>28825089357.777</v>
      </c>
      <c r="AI54" s="24">
        <v>21227276200.827019</v>
      </c>
      <c r="AJ54" s="24">
        <v>22071352267.610725</v>
      </c>
      <c r="AK54" s="24">
        <v>56457373286.111191</v>
      </c>
      <c r="AL54" s="24">
        <v>19413329191.823101</v>
      </c>
      <c r="AM54" s="24">
        <v>15294495511.065571</v>
      </c>
      <c r="AN54" s="24"/>
      <c r="AO54" s="24">
        <v>38695734414.75901</v>
      </c>
      <c r="AP54" s="24">
        <v>27461512689.965012</v>
      </c>
      <c r="AQ54" s="24"/>
      <c r="AR54" s="24">
        <v>35410514089.843559</v>
      </c>
      <c r="AS54" s="24">
        <v>24100000000</v>
      </c>
      <c r="AT54" s="24"/>
      <c r="AU54" s="24"/>
      <c r="AV54" s="24"/>
      <c r="AW54" s="1"/>
      <c r="AX54" s="1"/>
      <c r="AZ54" s="24">
        <v>19227145653.319183</v>
      </c>
      <c r="BA54" s="24">
        <v>24216827789.294235</v>
      </c>
      <c r="BB54" s="24">
        <v>36801236521.547127</v>
      </c>
      <c r="BC54" s="24">
        <v>28825089357.777</v>
      </c>
      <c r="BD54" s="24">
        <v>21227276200.827019</v>
      </c>
      <c r="BE54" s="24">
        <v>30658670885.299797</v>
      </c>
      <c r="BF54" s="24">
        <v>21951005356.045311</v>
      </c>
      <c r="BG54" s="24">
        <v>55927160466.208824</v>
      </c>
      <c r="BH54" s="24"/>
      <c r="BI54" s="24">
        <v>38761793275.604065</v>
      </c>
    </row>
    <row r="55" spans="1:61" ht="15.75" x14ac:dyDescent="0.3">
      <c r="A55" s="23" t="s">
        <v>259</v>
      </c>
      <c r="B55" s="16" t="s">
        <v>253</v>
      </c>
      <c r="C55" s="24"/>
      <c r="D55" s="24"/>
      <c r="E55" s="24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>
        <v>156727991748.92529</v>
      </c>
      <c r="S55" s="24">
        <v>159000000000</v>
      </c>
      <c r="T55" s="24">
        <v>131000000000</v>
      </c>
      <c r="U55" s="24">
        <v>186000000000</v>
      </c>
      <c r="V55" s="24">
        <v>161000000000</v>
      </c>
      <c r="W55" s="24">
        <v>128000000000</v>
      </c>
      <c r="X55" s="24">
        <v>143000000000</v>
      </c>
      <c r="Y55" s="24">
        <v>132084045920.26355</v>
      </c>
      <c r="Z55" s="24">
        <v>119000000000</v>
      </c>
      <c r="AA55" s="24">
        <v>144306964699.36453</v>
      </c>
      <c r="AB55" s="24">
        <v>207000000000</v>
      </c>
      <c r="AC55" s="24">
        <v>191880323923.36484</v>
      </c>
      <c r="AD55" s="24">
        <v>113479034203.78616</v>
      </c>
      <c r="AE55" s="24">
        <v>153895599402.177</v>
      </c>
      <c r="AF55" s="24">
        <v>157909016895.28326</v>
      </c>
      <c r="AG55" s="24">
        <v>163008276234.76874</v>
      </c>
      <c r="AH55" s="24">
        <v>169275115368.29041</v>
      </c>
      <c r="AI55" s="24">
        <v>148570050440.77859</v>
      </c>
      <c r="AJ55" s="24">
        <v>141282451434.49155</v>
      </c>
      <c r="AK55" s="24">
        <v>146415790089.9039</v>
      </c>
      <c r="AL55" s="24">
        <v>79474546131.83078</v>
      </c>
      <c r="AM55" s="24">
        <v>72478397873.98436</v>
      </c>
      <c r="AN55" s="24"/>
      <c r="AO55" s="24">
        <v>115195554589.17473</v>
      </c>
      <c r="AP55" s="24">
        <v>148862241962.2395</v>
      </c>
      <c r="AQ55" s="24"/>
      <c r="AR55" s="24">
        <v>176798848578.94385</v>
      </c>
      <c r="AS55" s="24">
        <v>161400000000</v>
      </c>
      <c r="AT55" s="24"/>
      <c r="AU55" s="24"/>
      <c r="AV55" s="24"/>
      <c r="AW55" s="1"/>
      <c r="AX55" s="1"/>
      <c r="AZ55" s="24">
        <v>119286270872.12808</v>
      </c>
      <c r="BA55" s="24">
        <v>157909016895.28326</v>
      </c>
      <c r="BB55" s="24">
        <v>163008276234.76874</v>
      </c>
      <c r="BC55" s="24">
        <v>169275115368.29041</v>
      </c>
      <c r="BD55" s="24">
        <v>148570050440.77859</v>
      </c>
      <c r="BE55" s="24">
        <v>154738180210.23337</v>
      </c>
      <c r="BF55" s="24">
        <v>136020598146.1147</v>
      </c>
      <c r="BG55" s="24">
        <v>144726607145.07672</v>
      </c>
      <c r="BH55" s="24"/>
      <c r="BI55" s="24">
        <v>315547295304.62531</v>
      </c>
    </row>
    <row r="56" spans="1:61" ht="15.75" x14ac:dyDescent="0.3">
      <c r="A56" s="23" t="s">
        <v>260</v>
      </c>
      <c r="B56" s="16" t="s">
        <v>253</v>
      </c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>
        <v>106476735467.5183</v>
      </c>
      <c r="S56" s="24">
        <v>92000000000</v>
      </c>
      <c r="T56" s="24">
        <v>71000000000</v>
      </c>
      <c r="U56" s="24">
        <v>103000000000</v>
      </c>
      <c r="V56" s="24">
        <v>74000000000</v>
      </c>
      <c r="W56" s="24">
        <v>64000000000</v>
      </c>
      <c r="X56" s="24">
        <v>83000000000</v>
      </c>
      <c r="Y56" s="24">
        <v>85992600492.534958</v>
      </c>
      <c r="Z56" s="24">
        <v>75000000000</v>
      </c>
      <c r="AA56" s="24">
        <v>100772525475.18307</v>
      </c>
      <c r="AB56" s="24">
        <v>142000000000</v>
      </c>
      <c r="AC56" s="24">
        <v>97937013266.151154</v>
      </c>
      <c r="AD56" s="24">
        <v>49638741774.744553</v>
      </c>
      <c r="AE56" s="24">
        <v>110523729416.04106</v>
      </c>
      <c r="AF56" s="24">
        <v>109475595897.45795</v>
      </c>
      <c r="AG56" s="24">
        <v>89405803191.674469</v>
      </c>
      <c r="AH56" s="24">
        <v>111624936652.73637</v>
      </c>
      <c r="AI56" s="24">
        <v>106115317799.45738</v>
      </c>
      <c r="AJ56" s="24">
        <v>97139649470.136856</v>
      </c>
      <c r="AK56" s="24">
        <v>33501043517.681526</v>
      </c>
      <c r="AL56" s="24">
        <v>40647887748.18457</v>
      </c>
      <c r="AM56" s="24">
        <v>41889406851.853203</v>
      </c>
      <c r="AN56" s="24"/>
      <c r="AO56" s="24">
        <v>37804085759.656715</v>
      </c>
      <c r="AP56" s="24">
        <v>93939216582.309479</v>
      </c>
      <c r="AQ56" s="24"/>
      <c r="AR56" s="24">
        <v>105978321957.50792</v>
      </c>
      <c r="AS56" s="24">
        <v>113200000000</v>
      </c>
      <c r="AT56" s="24"/>
      <c r="AU56" s="24"/>
      <c r="AV56" s="24"/>
      <c r="AW56" s="1"/>
      <c r="AX56" s="1"/>
      <c r="AZ56" s="24">
        <v>80831979565.489716</v>
      </c>
      <c r="BA56" s="24">
        <v>109475595897.45795</v>
      </c>
      <c r="BB56" s="24">
        <v>89405803191.674469</v>
      </c>
      <c r="BC56" s="24">
        <v>111624936652.73637</v>
      </c>
      <c r="BD56" s="24">
        <v>106115317799.45738</v>
      </c>
      <c r="BE56" s="24">
        <v>93421214418.968552</v>
      </c>
      <c r="BF56" s="24">
        <v>92118587434.024063</v>
      </c>
      <c r="BG56" s="24">
        <v>32873537337.575874</v>
      </c>
      <c r="BH56" s="24"/>
      <c r="BI56" s="24">
        <v>238023708753.41711</v>
      </c>
    </row>
    <row r="57" spans="1:61" ht="15.75" x14ac:dyDescent="0.3">
      <c r="A57" s="23" t="s">
        <v>261</v>
      </c>
      <c r="B57" s="16" t="s">
        <v>253</v>
      </c>
      <c r="C57" s="24"/>
      <c r="D57" s="24"/>
      <c r="E57" s="24"/>
      <c r="F57" s="24"/>
      <c r="G57" s="24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>
        <v>109346717995.6559</v>
      </c>
      <c r="S57" s="24">
        <v>74000000000</v>
      </c>
      <c r="T57" s="24">
        <v>45000000000</v>
      </c>
      <c r="U57" s="24">
        <v>92000000000</v>
      </c>
      <c r="V57" s="24">
        <v>61000000000</v>
      </c>
      <c r="W57" s="24">
        <v>43000000000</v>
      </c>
      <c r="X57" s="24">
        <v>61000000000</v>
      </c>
      <c r="Y57" s="24">
        <v>77949003875.422302</v>
      </c>
      <c r="Z57" s="24">
        <v>47000000000</v>
      </c>
      <c r="AA57" s="24">
        <v>96507648465.294174</v>
      </c>
      <c r="AB57" s="24">
        <v>118000000000</v>
      </c>
      <c r="AC57" s="24">
        <v>98508963024.000015</v>
      </c>
      <c r="AD57" s="24">
        <v>46941597022.507256</v>
      </c>
      <c r="AE57" s="24">
        <v>92063113645.977005</v>
      </c>
      <c r="AF57" s="24">
        <v>93845434239.108612</v>
      </c>
      <c r="AG57" s="24">
        <v>80657182694.906723</v>
      </c>
      <c r="AH57" s="24">
        <v>93259161024.151749</v>
      </c>
      <c r="AI57" s="24">
        <v>87536561835.342102</v>
      </c>
      <c r="AJ57" s="24">
        <v>81526705087.451736</v>
      </c>
      <c r="AK57" s="24">
        <v>11245082506.357296</v>
      </c>
      <c r="AL57" s="24">
        <v>34982779619.459572</v>
      </c>
      <c r="AM57" s="24">
        <v>35440215074.598366</v>
      </c>
      <c r="AN57" s="24"/>
      <c r="AO57" s="24">
        <v>42334957345.475525</v>
      </c>
      <c r="AP57" s="24">
        <v>78681486875.289825</v>
      </c>
      <c r="AQ57" s="24"/>
      <c r="AR57" s="24">
        <v>93441594589.318405</v>
      </c>
      <c r="AS57" s="24">
        <v>87200000000</v>
      </c>
      <c r="AT57" s="24"/>
      <c r="AU57" s="24"/>
      <c r="AV57" s="24"/>
      <c r="AW57" s="1"/>
      <c r="AX57" s="1"/>
      <c r="AZ57" s="24">
        <v>59713786850.405457</v>
      </c>
      <c r="BA57" s="24">
        <v>93845434239.108612</v>
      </c>
      <c r="BB57" s="24">
        <v>80657182694.906723</v>
      </c>
      <c r="BC57" s="24">
        <v>93259161024.151749</v>
      </c>
      <c r="BD57" s="24">
        <v>87536561835.342102</v>
      </c>
      <c r="BE57" s="24">
        <v>77504794760.944656</v>
      </c>
      <c r="BF57" s="24">
        <v>75806250292.332443</v>
      </c>
      <c r="BG57" s="24">
        <v>11615223663.098742</v>
      </c>
      <c r="BH57" s="24"/>
      <c r="BI57" s="24">
        <v>150882889410.29306</v>
      </c>
    </row>
    <row r="58" spans="1:61" ht="15.75" x14ac:dyDescent="0.3">
      <c r="A58" s="23" t="s">
        <v>262</v>
      </c>
      <c r="B58" s="16" t="s">
        <v>253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>
        <v>196039564433.27042</v>
      </c>
      <c r="S58" s="24">
        <v>174000000000</v>
      </c>
      <c r="T58" s="24">
        <v>144000000000</v>
      </c>
      <c r="U58" s="24">
        <v>175000000000</v>
      </c>
      <c r="V58" s="24">
        <v>175000000000</v>
      </c>
      <c r="W58" s="24">
        <v>160000000000</v>
      </c>
      <c r="X58" s="24">
        <v>161000000000</v>
      </c>
      <c r="Y58" s="24">
        <v>161500000000</v>
      </c>
      <c r="Z58" s="24">
        <v>123000000000</v>
      </c>
      <c r="AA58" s="24">
        <v>159817351598.17349</v>
      </c>
      <c r="AB58" s="24">
        <v>200000000000</v>
      </c>
      <c r="AC58" s="24">
        <v>158835746313.03387</v>
      </c>
      <c r="AD58" s="24">
        <v>158998243495.96808</v>
      </c>
      <c r="AE58" s="24">
        <v>146125511338.12115</v>
      </c>
      <c r="AF58" s="24">
        <v>154350887517.47311</v>
      </c>
      <c r="AG58" s="24">
        <v>181193000000</v>
      </c>
      <c r="AH58" s="24">
        <v>157530261687.34357</v>
      </c>
      <c r="AI58" s="24">
        <v>144425000000</v>
      </c>
      <c r="AJ58" s="24">
        <v>152634909139.44711</v>
      </c>
      <c r="AK58" s="24">
        <v>171195408001.51883</v>
      </c>
      <c r="AL58" s="24">
        <v>76807289909.161652</v>
      </c>
      <c r="AM58" s="24">
        <v>66242000000</v>
      </c>
      <c r="AN58" s="24"/>
      <c r="AO58" s="24">
        <v>106514635139.01547</v>
      </c>
      <c r="AP58" s="24">
        <v>155812000000</v>
      </c>
      <c r="AQ58" s="24">
        <v>114798424755.64285</v>
      </c>
      <c r="AR58" s="24">
        <v>175339497065.54691</v>
      </c>
      <c r="AS58" s="24">
        <v>159000000000</v>
      </c>
      <c r="AT58" s="24"/>
      <c r="AU58" s="24"/>
      <c r="AV58" s="24"/>
      <c r="AW58" s="1"/>
      <c r="AX58" s="1"/>
      <c r="AZ58" s="24">
        <v>142164000000</v>
      </c>
      <c r="BA58" s="24">
        <v>154350887517.47311</v>
      </c>
      <c r="BB58" s="24">
        <v>181193000000</v>
      </c>
      <c r="BC58" s="24">
        <v>157530261687.34357</v>
      </c>
      <c r="BD58" s="24">
        <v>144425000000</v>
      </c>
      <c r="BE58" s="24">
        <v>152068000000</v>
      </c>
      <c r="BF58" s="24">
        <v>150947130954.37506</v>
      </c>
      <c r="BG58" s="24">
        <v>166671000000</v>
      </c>
      <c r="BH58" s="24"/>
      <c r="BI58" s="24">
        <v>110274000000</v>
      </c>
    </row>
    <row r="59" spans="1:61" ht="15.75" x14ac:dyDescent="0.3">
      <c r="A59" s="23" t="s">
        <v>263</v>
      </c>
      <c r="B59" s="16" t="s">
        <v>253</v>
      </c>
      <c r="C59" s="24"/>
      <c r="D59" s="24"/>
      <c r="E59" s="24">
        <v>42735042735.04274</v>
      </c>
      <c r="F59" s="24">
        <v>48780487804.878052</v>
      </c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>
        <v>47000000000</v>
      </c>
      <c r="T59" s="24">
        <v>48000000000</v>
      </c>
      <c r="U59" s="24">
        <v>47000000000</v>
      </c>
      <c r="V59" s="24">
        <v>58000000000</v>
      </c>
      <c r="W59" s="24">
        <v>43000000000</v>
      </c>
      <c r="X59" s="24">
        <v>48000000000</v>
      </c>
      <c r="Y59" s="24">
        <v>43700000000</v>
      </c>
      <c r="Z59" s="24">
        <v>61000000000</v>
      </c>
      <c r="AA59" s="24">
        <v>43668122270.742355</v>
      </c>
      <c r="AB59" s="24">
        <v>43000000000</v>
      </c>
      <c r="AC59" s="24">
        <v>52889783565.411407</v>
      </c>
      <c r="AD59" s="24"/>
      <c r="AE59" s="24">
        <v>40281345752.756081</v>
      </c>
      <c r="AF59" s="24">
        <v>40986675715.828705</v>
      </c>
      <c r="AG59" s="24">
        <v>43296731356.008995</v>
      </c>
      <c r="AH59" s="24">
        <v>43373553137.23101</v>
      </c>
      <c r="AI59" s="24">
        <v>36577000000</v>
      </c>
      <c r="AJ59" s="24">
        <v>33622801834.067932</v>
      </c>
      <c r="AK59" s="24">
        <v>61295558097.333664</v>
      </c>
      <c r="AL59" s="24">
        <v>28632977995.103008</v>
      </c>
      <c r="AM59" s="24">
        <v>22465534985.550457</v>
      </c>
      <c r="AN59" s="24"/>
      <c r="AO59" s="24">
        <v>38229382815.744362</v>
      </c>
      <c r="AP59" s="24">
        <v>43004664935.545456</v>
      </c>
      <c r="AQ59" s="24"/>
      <c r="AR59" s="24">
        <v>53977262367.870911</v>
      </c>
      <c r="AS59" s="24">
        <v>50000000000</v>
      </c>
      <c r="AT59" s="24"/>
      <c r="AU59" s="24"/>
      <c r="AV59" s="24"/>
      <c r="AW59" s="1"/>
      <c r="AX59" s="1"/>
      <c r="AZ59" s="24">
        <v>40313000000</v>
      </c>
      <c r="BA59" s="24">
        <v>40995000000</v>
      </c>
      <c r="BB59" s="24">
        <v>48743000000</v>
      </c>
      <c r="BC59" s="24">
        <v>43383000000</v>
      </c>
      <c r="BD59" s="24">
        <v>36577000000</v>
      </c>
      <c r="BE59" s="24">
        <v>44057000000</v>
      </c>
      <c r="BF59" s="24">
        <v>33600000000</v>
      </c>
      <c r="BG59" s="24">
        <v>61299000000</v>
      </c>
      <c r="BH59" s="24"/>
      <c r="BI59" s="24">
        <v>38230000000</v>
      </c>
    </row>
    <row r="60" spans="1:61" ht="15.75" x14ac:dyDescent="0.3">
      <c r="A60" s="23" t="s">
        <v>264</v>
      </c>
      <c r="B60" s="20" t="s">
        <v>23</v>
      </c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24">
        <f>0.000000001/R38</f>
        <v>66.225165562913915</v>
      </c>
      <c r="S60" s="24">
        <f t="shared" ref="S60:AM60" si="2">0.000000001/S38</f>
        <v>90.909090909090907</v>
      </c>
      <c r="T60" s="24">
        <f t="shared" si="2"/>
        <v>80.645161290322577</v>
      </c>
      <c r="U60" s="24">
        <f t="shared" si="2"/>
        <v>112.35955056179776</v>
      </c>
      <c r="V60" s="24">
        <f t="shared" si="2"/>
        <v>113.63636363636363</v>
      </c>
      <c r="W60" s="24">
        <f t="shared" si="2"/>
        <v>80.645161290322577</v>
      </c>
      <c r="X60" s="24">
        <f t="shared" si="2"/>
        <v>80</v>
      </c>
      <c r="Y60" s="24">
        <f t="shared" si="2"/>
        <v>58.997050147492629</v>
      </c>
      <c r="Z60" s="24">
        <f t="shared" si="2"/>
        <v>58.82352941176471</v>
      </c>
      <c r="AA60" s="24">
        <f t="shared" si="2"/>
        <v>56.17977528089888</v>
      </c>
      <c r="AB60" s="24">
        <f t="shared" si="2"/>
        <v>90.090090090090087</v>
      </c>
      <c r="AC60" s="24">
        <f t="shared" si="2"/>
        <v>119.36562811033464</v>
      </c>
      <c r="AD60" s="24">
        <f t="shared" si="2"/>
        <v>83.654978553799978</v>
      </c>
      <c r="AE60" s="24">
        <f t="shared" si="2"/>
        <v>60.305434535402441</v>
      </c>
      <c r="AF60" s="24">
        <f t="shared" si="2"/>
        <v>67.520576895809</v>
      </c>
      <c r="AG60" s="24">
        <f t="shared" si="2"/>
        <v>95.648930166716099</v>
      </c>
      <c r="AH60" s="24">
        <f t="shared" si="2"/>
        <v>76.928402735574011</v>
      </c>
      <c r="AI60" s="24">
        <f t="shared" si="2"/>
        <v>58.977912771667015</v>
      </c>
      <c r="AJ60" s="24">
        <f t="shared" si="2"/>
        <v>59.297385281796011</v>
      </c>
      <c r="AK60" s="24">
        <f t="shared" si="2"/>
        <v>137.94966829743296</v>
      </c>
      <c r="AL60" s="24">
        <f t="shared" si="2"/>
        <v>51.621695566212573</v>
      </c>
      <c r="AM60" s="24">
        <f t="shared" si="2"/>
        <v>41.74093073927363</v>
      </c>
      <c r="AN60" s="16"/>
      <c r="AO60" s="24">
        <f t="shared" ref="AO60:AP60" si="3">0.000000001/AO38</f>
        <v>93.880265313801871</v>
      </c>
      <c r="AP60" s="24">
        <f t="shared" si="3"/>
        <v>72.668081271982089</v>
      </c>
      <c r="AQ60" s="16"/>
      <c r="AR60" s="24">
        <f t="shared" ref="AR60:AS60" si="4">0.000000001/AR38</f>
        <v>92.12938651041523</v>
      </c>
      <c r="AS60" s="24">
        <f t="shared" si="4"/>
        <v>65.487884741322858</v>
      </c>
      <c r="AT60" s="16"/>
      <c r="AU60" s="16"/>
      <c r="AV60" s="16"/>
      <c r="AZ60" s="24">
        <v>54.814343817490162</v>
      </c>
      <c r="BA60" s="24">
        <v>67.520576895809</v>
      </c>
      <c r="BB60" s="24">
        <v>95.648930166716099</v>
      </c>
      <c r="BC60" s="24">
        <v>76.928402735574011</v>
      </c>
      <c r="BD60" s="24">
        <v>58.977912771667015</v>
      </c>
      <c r="BE60" s="24">
        <v>79.379569286457055</v>
      </c>
      <c r="BF60" s="24">
        <v>58.821453360469633</v>
      </c>
      <c r="BG60" s="24">
        <v>136.4777814171853</v>
      </c>
      <c r="BH60" s="24"/>
      <c r="BI60" s="24">
        <v>94.171712700938897</v>
      </c>
    </row>
    <row r="61" spans="1:61" ht="15.75" x14ac:dyDescent="0.3">
      <c r="A61" s="23" t="s">
        <v>265</v>
      </c>
      <c r="B61" s="20" t="s">
        <v>23</v>
      </c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24">
        <f>0.000000001/R41</f>
        <v>50.761421319796959</v>
      </c>
      <c r="S61" s="24">
        <f t="shared" ref="S61:AM61" si="5">0.000000001/S41</f>
        <v>89.285714285714292</v>
      </c>
      <c r="T61" s="24">
        <f t="shared" si="5"/>
        <v>75.187969924812037</v>
      </c>
      <c r="U61" s="24">
        <f t="shared" si="5"/>
        <v>103.09278350515466</v>
      </c>
      <c r="V61" s="24">
        <f t="shared" si="5"/>
        <v>106.38297872340426</v>
      </c>
      <c r="W61" s="24">
        <f t="shared" si="5"/>
        <v>68.493150684931507</v>
      </c>
      <c r="X61" s="24">
        <f t="shared" si="5"/>
        <v>62.500000000000007</v>
      </c>
      <c r="Y61" s="24">
        <f t="shared" si="5"/>
        <v>46.948356807511743</v>
      </c>
      <c r="Z61" s="24">
        <f t="shared" si="5"/>
        <v>47.619047619047628</v>
      </c>
      <c r="AA61" s="24">
        <f t="shared" si="5"/>
        <v>41.84100418410042</v>
      </c>
      <c r="AB61" s="24">
        <f t="shared" si="5"/>
        <v>66.666666666666671</v>
      </c>
      <c r="AC61" s="24">
        <f t="shared" si="5"/>
        <v>77.853262808783455</v>
      </c>
      <c r="AD61" s="24">
        <f t="shared" si="5"/>
        <v>92.825781080067628</v>
      </c>
      <c r="AE61" s="24">
        <f t="shared" si="5"/>
        <v>43.25824649089796</v>
      </c>
      <c r="AF61" s="24">
        <f t="shared" si="5"/>
        <v>51.555693037403664</v>
      </c>
      <c r="AG61" s="24">
        <f t="shared" si="5"/>
        <v>73.323996744414558</v>
      </c>
      <c r="AH61" s="24">
        <f t="shared" si="5"/>
        <v>50.920904558948585</v>
      </c>
      <c r="AI61" s="24">
        <f t="shared" si="5"/>
        <v>43.101962001310298</v>
      </c>
      <c r="AJ61" s="24">
        <f t="shared" si="5"/>
        <v>42.722353830806668</v>
      </c>
      <c r="AK61" s="24">
        <f t="shared" si="5"/>
        <v>139.27147274511125</v>
      </c>
      <c r="AL61" s="24">
        <f t="shared" si="5"/>
        <v>35.285192568938449</v>
      </c>
      <c r="AM61" s="24">
        <f t="shared" si="5"/>
        <v>26.686094143202919</v>
      </c>
      <c r="AN61" s="16"/>
      <c r="AO61" s="24">
        <f t="shared" ref="AO61:AP61" si="6">0.000000001/AO41</f>
        <v>80.781800031768341</v>
      </c>
      <c r="AP61" s="24">
        <f t="shared" si="6"/>
        <v>53.789757354404578</v>
      </c>
      <c r="AQ61" s="16"/>
      <c r="AR61" s="24">
        <f t="shared" ref="AR61:AS61" si="7">0.000000001/AR41</f>
        <v>62.840122161197478</v>
      </c>
      <c r="AS61" s="24">
        <f t="shared" si="7"/>
        <v>54.644808743169399</v>
      </c>
      <c r="AT61" s="16"/>
      <c r="AU61" s="16"/>
      <c r="AV61" s="16"/>
      <c r="AZ61" s="24">
        <v>55.638085382205837</v>
      </c>
      <c r="BA61" s="24">
        <v>51.555693037403664</v>
      </c>
      <c r="BB61" s="24">
        <v>73.323996744414558</v>
      </c>
      <c r="BC61" s="24">
        <v>50.920904558948585</v>
      </c>
      <c r="BD61" s="24">
        <v>43.101962001310298</v>
      </c>
      <c r="BE61" s="24">
        <v>54.672294268156676</v>
      </c>
      <c r="BF61" s="24">
        <v>43.652491247675506</v>
      </c>
      <c r="BG61" s="24">
        <v>136.86068950415373</v>
      </c>
      <c r="BH61" s="24"/>
      <c r="BI61" s="24">
        <v>22.608015445796152</v>
      </c>
    </row>
    <row r="62" spans="1:61" ht="15.75" x14ac:dyDescent="0.3">
      <c r="A62" s="23" t="s">
        <v>266</v>
      </c>
      <c r="B62" s="20" t="s">
        <v>23</v>
      </c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24">
        <f>0.000000001/R44</f>
        <v>74.881462644633558</v>
      </c>
      <c r="S62" s="24">
        <f t="shared" ref="S62:AM62" si="8">0.000000001/S44</f>
        <v>98.039215686274517</v>
      </c>
      <c r="T62" s="24">
        <f t="shared" si="8"/>
        <v>88.495575221238937</v>
      </c>
      <c r="U62" s="24">
        <f t="shared" si="8"/>
        <v>116.27906976744187</v>
      </c>
      <c r="V62" s="24">
        <f t="shared" si="8"/>
        <v>120.48192771084338</v>
      </c>
      <c r="W62" s="24">
        <f t="shared" si="8"/>
        <v>91.743119266055061</v>
      </c>
      <c r="X62" s="24">
        <f t="shared" si="8"/>
        <v>90.090090090090087</v>
      </c>
      <c r="Y62" s="24">
        <f t="shared" si="8"/>
        <v>69.580198310523201</v>
      </c>
      <c r="Z62" s="24">
        <f t="shared" si="8"/>
        <v>68.027210884353735</v>
      </c>
      <c r="AA62" s="24">
        <f t="shared" si="8"/>
        <v>65.789473684210535</v>
      </c>
      <c r="AB62" s="24">
        <f t="shared" si="8"/>
        <v>100.00000000000001</v>
      </c>
      <c r="AC62" s="24">
        <f t="shared" si="8"/>
        <v>120.40716445975028</v>
      </c>
      <c r="AD62" s="24">
        <f t="shared" si="8"/>
        <v>86.769418007591739</v>
      </c>
      <c r="AE62" s="24">
        <f t="shared" si="8"/>
        <v>67.126944305384399</v>
      </c>
      <c r="AF62" s="24">
        <f t="shared" si="8"/>
        <v>73.606807157525935</v>
      </c>
      <c r="AG62" s="24">
        <f t="shared" si="8"/>
        <v>104.58391290251734</v>
      </c>
      <c r="AH62" s="24">
        <f t="shared" si="8"/>
        <v>86.16307223050346</v>
      </c>
      <c r="AI62" s="24">
        <f t="shared" si="8"/>
        <v>66.038857263613906</v>
      </c>
      <c r="AJ62" s="24">
        <f t="shared" si="8"/>
        <v>68.348495307875794</v>
      </c>
      <c r="AK62" s="24">
        <f t="shared" si="8"/>
        <v>138.3089723285328</v>
      </c>
      <c r="AL62" s="24">
        <f t="shared" si="8"/>
        <v>53.928415421369678</v>
      </c>
      <c r="AM62" s="24">
        <f t="shared" si="8"/>
        <v>43.694262506390295</v>
      </c>
      <c r="AN62" s="16"/>
      <c r="AO62" s="24">
        <f t="shared" ref="AO62:AP62" si="9">0.000000001/AO44</f>
        <v>93.895617961631757</v>
      </c>
      <c r="AP62" s="24">
        <f t="shared" si="9"/>
        <v>82.204393002762075</v>
      </c>
      <c r="AQ62" s="16"/>
      <c r="AR62" s="24">
        <f t="shared" ref="AR62:AS62" si="10">0.000000001/AR44</f>
        <v>102.14921957996242</v>
      </c>
      <c r="AS62" s="24">
        <f t="shared" si="10"/>
        <v>76.628352490421463</v>
      </c>
      <c r="AT62" s="16"/>
      <c r="AU62" s="16"/>
      <c r="AV62" s="16"/>
      <c r="AZ62" s="24">
        <v>61.211497967778271</v>
      </c>
      <c r="BA62" s="24">
        <v>73.606807157525935</v>
      </c>
      <c r="BB62" s="24">
        <v>104.58391290251734</v>
      </c>
      <c r="BC62" s="24">
        <v>86.16307223050346</v>
      </c>
      <c r="BD62" s="24">
        <v>66.038857263613906</v>
      </c>
      <c r="BE62" s="24">
        <v>90.007380605209633</v>
      </c>
      <c r="BF62" s="24">
        <v>68.126852198794154</v>
      </c>
      <c r="BG62" s="24">
        <v>136.76522880822779</v>
      </c>
      <c r="BH62" s="24"/>
      <c r="BI62" s="24">
        <v>94.213412221363839</v>
      </c>
    </row>
    <row r="63" spans="1:61" ht="15.75" x14ac:dyDescent="0.3">
      <c r="A63" s="23" t="s">
        <v>267</v>
      </c>
      <c r="B63" s="20" t="s">
        <v>23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24">
        <f>0.000000001/R47</f>
        <v>105.26315789473685</v>
      </c>
      <c r="S63" s="24">
        <f t="shared" ref="S63:AM63" si="11">0.000000001/S47</f>
        <v>117.64705882352942</v>
      </c>
      <c r="T63" s="24">
        <f t="shared" si="11"/>
        <v>114.94252873563219</v>
      </c>
      <c r="U63" s="24">
        <f t="shared" si="11"/>
        <v>121.95121951219514</v>
      </c>
      <c r="V63" s="24">
        <f t="shared" si="11"/>
        <v>133.33333333333334</v>
      </c>
      <c r="W63" s="24">
        <f t="shared" si="11"/>
        <v>128.2051282051282</v>
      </c>
      <c r="X63" s="24">
        <f t="shared" si="11"/>
        <v>116.27906976744187</v>
      </c>
      <c r="Y63" s="24">
        <f t="shared" si="11"/>
        <v>103.77620868150251</v>
      </c>
      <c r="Z63" s="24">
        <f t="shared" si="11"/>
        <v>99.009900990099027</v>
      </c>
      <c r="AA63" s="24">
        <f t="shared" si="11"/>
        <v>92.592592592592609</v>
      </c>
      <c r="AB63" s="24">
        <f t="shared" si="11"/>
        <v>126.58227848101266</v>
      </c>
      <c r="AC63" s="24">
        <f t="shared" si="11"/>
        <v>91.869319182291193</v>
      </c>
      <c r="AD63" s="24">
        <f t="shared" si="11"/>
        <v>131.98078917126605</v>
      </c>
      <c r="AE63" s="24">
        <f t="shared" si="11"/>
        <v>82.018118493032773</v>
      </c>
      <c r="AF63" s="24">
        <f t="shared" si="11"/>
        <v>88.476000884760012</v>
      </c>
      <c r="AG63" s="24">
        <f t="shared" si="11"/>
        <v>129.6478763677851</v>
      </c>
      <c r="AH63" s="24">
        <f t="shared" si="11"/>
        <v>95.605950514360018</v>
      </c>
      <c r="AI63" s="24">
        <f t="shared" si="11"/>
        <v>84.251676608364505</v>
      </c>
      <c r="AJ63" s="24">
        <f t="shared" si="11"/>
        <v>96.87998023648403</v>
      </c>
      <c r="AK63" s="24">
        <f t="shared" si="11"/>
        <v>169.78973763661472</v>
      </c>
      <c r="AL63" s="24">
        <f t="shared" si="11"/>
        <v>56.431497804814747</v>
      </c>
      <c r="AM63" s="24">
        <f t="shared" si="11"/>
        <v>44.277959317410989</v>
      </c>
      <c r="AN63" s="16"/>
      <c r="AO63" s="24">
        <f t="shared" ref="AO63:AP63" si="12">0.000000001/AO47</f>
        <v>83.08649361715311</v>
      </c>
      <c r="AP63" s="24">
        <f t="shared" si="12"/>
        <v>104.81850675555276</v>
      </c>
      <c r="AQ63" s="16"/>
      <c r="AR63" s="24">
        <f t="shared" ref="AR63:AS63" si="13">0.000000001/AR47</f>
        <v>113.58534921244777</v>
      </c>
      <c r="AS63" s="24">
        <f t="shared" si="13"/>
        <v>55.493895671476146</v>
      </c>
      <c r="AT63" s="16"/>
      <c r="AU63" s="16"/>
      <c r="AV63" s="16"/>
      <c r="AZ63" s="24">
        <v>106.52690336944596</v>
      </c>
      <c r="BA63" s="24">
        <v>88.476000884760012</v>
      </c>
      <c r="BB63" s="24">
        <v>129.6478763677851</v>
      </c>
      <c r="BC63" s="24">
        <v>95.605950514360018</v>
      </c>
      <c r="BD63" s="24">
        <v>84.251676608364505</v>
      </c>
      <c r="BE63" s="24">
        <v>103.65701965337094</v>
      </c>
      <c r="BF63" s="24">
        <v>100.56922179536176</v>
      </c>
      <c r="BG63" s="24">
        <v>162.40621041348621</v>
      </c>
      <c r="BH63" s="24"/>
      <c r="BI63" s="24">
        <v>22.779250835998507</v>
      </c>
    </row>
    <row r="64" spans="1:6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24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Z64" s="16"/>
      <c r="BA64" s="16"/>
      <c r="BB64" s="16"/>
      <c r="BC64" s="16"/>
      <c r="BD64" s="16"/>
      <c r="BE64" s="16"/>
      <c r="BF64" s="16"/>
      <c r="BG64" s="16"/>
      <c r="BH64" s="16"/>
      <c r="BI64" s="16"/>
    </row>
    <row r="65" spans="1:61" x14ac:dyDescent="0.2">
      <c r="A65" s="23" t="s">
        <v>104</v>
      </c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Z65" s="16"/>
      <c r="BA65" s="16"/>
      <c r="BB65" s="16"/>
      <c r="BC65" s="16"/>
      <c r="BD65" s="16"/>
      <c r="BE65" s="16"/>
      <c r="BF65" s="16"/>
      <c r="BG65" s="16"/>
      <c r="BH65" s="16"/>
      <c r="BI65" s="16"/>
    </row>
    <row r="66" spans="1:61" x14ac:dyDescent="0.2">
      <c r="A66" s="16"/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27"/>
      <c r="AF66" s="27"/>
      <c r="AG66" s="27"/>
      <c r="AH66" s="27"/>
      <c r="AI66" s="27"/>
      <c r="AJ66" s="27"/>
      <c r="AK66" s="27"/>
      <c r="AL66" s="16"/>
      <c r="AM66" s="16"/>
      <c r="AN66" s="16"/>
      <c r="AO66" s="16"/>
      <c r="AP66" s="16"/>
      <c r="AQ66" s="16"/>
      <c r="AR66" s="16"/>
      <c r="AS66" s="16"/>
      <c r="AT66" s="16"/>
      <c r="AU66" s="16"/>
      <c r="AV66" s="16"/>
      <c r="AZ66" s="16"/>
      <c r="BA66" s="16"/>
      <c r="BB66" s="16"/>
      <c r="BC66" s="16"/>
      <c r="BD66" s="16"/>
      <c r="BE66" s="16"/>
      <c r="BF66" s="16"/>
      <c r="BG66" s="16"/>
      <c r="BH66" s="16"/>
      <c r="BI66" s="16"/>
    </row>
    <row r="67" spans="1:61" ht="15.75" x14ac:dyDescent="0.3">
      <c r="A67" s="16" t="s">
        <v>269</v>
      </c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37">
        <v>-326.93832359999999</v>
      </c>
      <c r="AF67" s="37">
        <v>-326.93832359999999</v>
      </c>
      <c r="AG67" s="37">
        <v>-363.16725280000003</v>
      </c>
      <c r="AH67" s="37">
        <v>-363.16725280000003</v>
      </c>
      <c r="AI67" s="37">
        <v>-326.93832359999999</v>
      </c>
      <c r="AJ67" s="37">
        <v>-326.93832359999999</v>
      </c>
      <c r="AK67" s="37">
        <v>1E-4</v>
      </c>
      <c r="AL67" s="16"/>
      <c r="AM67" s="16"/>
      <c r="AN67" s="16"/>
      <c r="AO67" s="27">
        <v>0</v>
      </c>
      <c r="AP67" s="16"/>
      <c r="AQ67" s="16"/>
      <c r="AR67" s="16"/>
      <c r="AS67" s="16"/>
      <c r="AT67" s="16"/>
      <c r="AU67" s="16"/>
      <c r="AV67" s="16"/>
      <c r="AZ67" s="38">
        <v>-326.93832359999999</v>
      </c>
      <c r="BA67" s="38">
        <v>-326.93832359999999</v>
      </c>
      <c r="BB67" s="38">
        <v>-363.16725280000003</v>
      </c>
      <c r="BC67" s="38">
        <v>-363.16725280000003</v>
      </c>
      <c r="BD67" s="38">
        <v>-326.93832359999999</v>
      </c>
      <c r="BE67" s="38">
        <v>-363.16725280000003</v>
      </c>
      <c r="BF67" s="38">
        <v>-326.93832359999999</v>
      </c>
      <c r="BG67" s="38">
        <v>1E-4</v>
      </c>
      <c r="BH67" s="27"/>
      <c r="BI67" s="27">
        <v>0</v>
      </c>
    </row>
    <row r="68" spans="1:61" ht="15.75" x14ac:dyDescent="0.3">
      <c r="A68" s="17" t="s">
        <v>270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27">
        <v>2063.1478029999998</v>
      </c>
      <c r="AF68" s="27">
        <v>2063.1478029999998</v>
      </c>
      <c r="AG68" s="27">
        <v>2082.6220480000002</v>
      </c>
      <c r="AH68" s="27">
        <v>2082.6220480000002</v>
      </c>
      <c r="AI68" s="27">
        <v>2063.1478029999998</v>
      </c>
      <c r="AJ68" s="27">
        <v>2063.1478029999998</v>
      </c>
      <c r="AK68" s="27">
        <v>2200</v>
      </c>
      <c r="AL68" s="16"/>
      <c r="AM68" s="16"/>
      <c r="AN68" s="16"/>
      <c r="AO68" s="27">
        <v>2000</v>
      </c>
      <c r="AP68" s="16"/>
      <c r="AQ68" s="16"/>
      <c r="AR68" s="16"/>
      <c r="AS68" s="16"/>
      <c r="AT68" s="16"/>
      <c r="AU68" s="16"/>
      <c r="AV68" s="16"/>
      <c r="AZ68" s="27">
        <v>2063.1478029999998</v>
      </c>
      <c r="BA68" s="27">
        <v>2063.1478029999998</v>
      </c>
      <c r="BB68" s="27">
        <v>2082.6220480000002</v>
      </c>
      <c r="BC68" s="27">
        <v>2082.6220480000002</v>
      </c>
      <c r="BD68" s="27">
        <v>2063.1478029999998</v>
      </c>
      <c r="BE68" s="27">
        <v>2082.6220480000002</v>
      </c>
      <c r="BF68" s="27">
        <v>2063.1478029999998</v>
      </c>
      <c r="BG68" s="27">
        <v>2200</v>
      </c>
      <c r="BH68" s="38"/>
      <c r="BI68" s="27">
        <v>2000</v>
      </c>
    </row>
    <row r="69" spans="1:61" ht="15.75" x14ac:dyDescent="0.3">
      <c r="A69" s="16" t="s">
        <v>271</v>
      </c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21">
        <f>AI69*(AH$31/AI$31)</f>
        <v>1016.3474268481724</v>
      </c>
      <c r="AI69" s="16">
        <v>903</v>
      </c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Z69" s="16"/>
      <c r="BA69" s="16"/>
      <c r="BB69" s="16"/>
      <c r="BC69" s="16"/>
      <c r="BD69" s="16"/>
      <c r="BE69" s="16"/>
      <c r="BF69" s="16"/>
      <c r="BG69" s="16"/>
      <c r="BH69" s="16"/>
      <c r="BI69" s="16"/>
    </row>
    <row r="70" spans="1:61" ht="15.75" x14ac:dyDescent="0.3">
      <c r="A70" s="16" t="s">
        <v>272</v>
      </c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21">
        <f>AI70*(AH$31/AI$31)</f>
        <v>1185.175903068799</v>
      </c>
      <c r="AI70" s="16">
        <v>1053</v>
      </c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Z70" s="16">
        <v>880</v>
      </c>
      <c r="BA70" s="16">
        <v>880</v>
      </c>
      <c r="BB70" s="16">
        <v>1115</v>
      </c>
      <c r="BC70" s="16">
        <v>1015</v>
      </c>
      <c r="BD70" s="16">
        <v>880</v>
      </c>
      <c r="BE70" s="16">
        <v>1015</v>
      </c>
      <c r="BF70" s="16">
        <v>880</v>
      </c>
      <c r="BG70" s="16">
        <v>900</v>
      </c>
      <c r="BH70" s="16"/>
      <c r="BI70" s="16">
        <v>900</v>
      </c>
    </row>
    <row r="71" spans="1:61" ht="15.75" x14ac:dyDescent="0.3">
      <c r="A71" s="16" t="s">
        <v>273</v>
      </c>
      <c r="B71" s="16"/>
      <c r="C71" s="16"/>
      <c r="D71" s="16"/>
      <c r="E71" s="16"/>
      <c r="F71" s="16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27"/>
      <c r="AG71" s="27"/>
      <c r="AH71" s="21">
        <f>AI71</f>
        <v>243.48613686730869</v>
      </c>
      <c r="AI71" s="27">
        <v>243.48613686730869</v>
      </c>
      <c r="AJ71" s="16"/>
      <c r="AK71" s="16"/>
      <c r="AL71" s="16"/>
      <c r="AM71" s="16"/>
      <c r="AN71" s="16"/>
      <c r="AO71" s="16"/>
      <c r="AP71" s="16"/>
      <c r="AQ71" s="16"/>
      <c r="AR71" s="16"/>
      <c r="AS71" s="16"/>
      <c r="AT71" s="16"/>
      <c r="AU71" s="16"/>
      <c r="AV71" s="16"/>
    </row>
    <row r="72" spans="1:61" ht="15.75" x14ac:dyDescent="0.3">
      <c r="A72" s="17" t="s">
        <v>274</v>
      </c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27"/>
      <c r="AG72" s="27"/>
      <c r="AH72" s="21">
        <f>AI72*(AH$31/AI$31)</f>
        <v>956.82245518481773</v>
      </c>
      <c r="AI72" s="27">
        <v>850.11350863680707</v>
      </c>
      <c r="AJ72" s="16"/>
      <c r="AK72" s="16"/>
      <c r="AL72" s="16"/>
      <c r="AM72" s="16"/>
      <c r="AN72" s="16"/>
      <c r="AO72" s="16"/>
      <c r="AP72" s="16"/>
      <c r="AQ72" s="16"/>
      <c r="AR72" s="16"/>
      <c r="AS72" s="16"/>
      <c r="AT72" s="16"/>
      <c r="AU72" s="16"/>
      <c r="AV72" s="16"/>
    </row>
    <row r="73" spans="1:61" ht="15.75" x14ac:dyDescent="0.3">
      <c r="A73" s="16" t="s">
        <v>275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21">
        <v>1009</v>
      </c>
      <c r="AI73" s="27">
        <v>867</v>
      </c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  <c r="AV73" s="16"/>
    </row>
    <row r="74" spans="1:61" ht="15.75" x14ac:dyDescent="0.3">
      <c r="A74" s="16" t="s">
        <v>276</v>
      </c>
      <c r="B74" s="16"/>
      <c r="C74" s="16"/>
      <c r="D74" s="16"/>
      <c r="E74" s="16"/>
      <c r="F74" s="16"/>
      <c r="G74" s="16"/>
      <c r="H74" s="16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  <c r="AA74" s="16"/>
      <c r="AB74" s="16"/>
      <c r="AC74" s="16"/>
      <c r="AD74" s="16"/>
      <c r="AE74" s="16"/>
      <c r="AF74" s="16"/>
      <c r="AG74" s="16"/>
      <c r="AH74" s="21">
        <v>1024</v>
      </c>
      <c r="AI74" s="27">
        <v>913</v>
      </c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</row>
    <row r="75" spans="1:61" ht="15.75" x14ac:dyDescent="0.3">
      <c r="A75" s="16" t="s">
        <v>277</v>
      </c>
      <c r="B75" s="16"/>
      <c r="C75" s="16"/>
      <c r="D75" s="16"/>
      <c r="E75" s="16"/>
      <c r="F75" s="16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27">
        <v>76.324074028121373</v>
      </c>
      <c r="AI75" s="21">
        <v>198.13959069179825</v>
      </c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</row>
    <row r="76" spans="1:61" ht="15.75" x14ac:dyDescent="0.3">
      <c r="A76" s="17" t="s">
        <v>278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21">
        <v>1006.1661054371434</v>
      </c>
      <c r="AI76" s="21">
        <v>859.41885657329124</v>
      </c>
      <c r="AJ76" s="16"/>
      <c r="AK76" s="16"/>
      <c r="AL76" s="16"/>
      <c r="AM76" s="16"/>
      <c r="AN76" s="16"/>
      <c r="AO76" s="16"/>
      <c r="AP76" s="16"/>
      <c r="AQ76" s="16"/>
      <c r="AR76" s="16"/>
      <c r="AS76" s="16"/>
      <c r="AT76" s="16"/>
      <c r="AU76" s="16"/>
      <c r="AV76" s="16"/>
    </row>
  </sheetData>
  <sheetProtection algorithmName="SHA-512" hashValue="bW6RJgWCh9S3B+0Ix8hWDz8GxJaihHkVDWbDOpCOlAnyts1hi0EusZlKwWoqXcQm6l3zoFgFb45WdEYNwIKuqg==" saltValue="ZiiIWxfpR4/LkGOe79qY/A==" spinCount="100000" sheet="1" objects="1" scenarios="1" selectLockedCells="1" selectUnlockedCells="1"/>
  <phoneticPr fontId="0" type="noConversion"/>
  <pageMargins left="0.75" right="0.75" top="1" bottom="1" header="0" footer="0"/>
  <pageSetup paperSize="9" orientation="portrait" r:id="rId1"/>
  <headerFooter alignWithMargins="0"/>
  <ignoredErrors>
    <ignoredError sqref="AH71 AO32:AS32" 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/>
  <dimension ref="A1:P43"/>
  <sheetViews>
    <sheetView zoomScaleNormal="100" workbookViewId="0">
      <selection activeCell="D12" sqref="D12"/>
    </sheetView>
  </sheetViews>
  <sheetFormatPr defaultColWidth="8.85546875" defaultRowHeight="12.75" x14ac:dyDescent="0.2"/>
  <cols>
    <col min="1" max="1" width="2.5703125" style="9" customWidth="1"/>
    <col min="2" max="2" width="5.5703125" style="9" customWidth="1"/>
    <col min="3" max="3" width="30.42578125" style="9" customWidth="1"/>
    <col min="4" max="4" width="8.85546875" style="9" customWidth="1"/>
    <col min="5" max="5" width="7.28515625" style="9" customWidth="1"/>
    <col min="6" max="6" width="32.7109375" style="9" customWidth="1"/>
    <col min="7" max="7" width="4.7109375" style="9" customWidth="1"/>
    <col min="8" max="8" width="33" style="9" customWidth="1"/>
    <col min="9" max="9" width="10.28515625" style="9" bestFit="1" customWidth="1"/>
    <col min="10" max="10" width="8.85546875" style="9"/>
    <col min="11" max="11" width="4.7109375" style="9" customWidth="1"/>
    <col min="12" max="16384" width="8.85546875" style="9"/>
  </cols>
  <sheetData>
    <row r="1" spans="2:16" ht="6.75" customHeight="1" thickBot="1" x14ac:dyDescent="0.25"/>
    <row r="2" spans="2:16" ht="27" customHeight="1" thickBot="1" x14ac:dyDescent="0.25">
      <c r="B2" s="179" t="s">
        <v>114</v>
      </c>
      <c r="C2" s="180"/>
      <c r="D2" s="180"/>
      <c r="E2" s="180"/>
      <c r="F2" s="180"/>
      <c r="G2" s="180"/>
      <c r="H2" s="180"/>
      <c r="I2" s="180"/>
      <c r="J2" s="181"/>
    </row>
    <row r="3" spans="2:16" ht="6" customHeight="1" thickBot="1" x14ac:dyDescent="0.25">
      <c r="B3" s="39"/>
      <c r="C3" s="39"/>
      <c r="D3" s="39"/>
      <c r="E3" s="39"/>
      <c r="F3" s="39"/>
      <c r="G3" s="39"/>
      <c r="H3" s="39"/>
      <c r="I3" s="39"/>
      <c r="J3" s="39"/>
    </row>
    <row r="4" spans="2:16" ht="27" customHeight="1" thickBot="1" x14ac:dyDescent="0.25">
      <c r="B4" s="188" t="s">
        <v>95</v>
      </c>
      <c r="C4" s="191"/>
      <c r="D4" s="191"/>
      <c r="E4" s="191"/>
      <c r="F4" s="192"/>
      <c r="G4" s="39"/>
      <c r="H4" s="188" t="s">
        <v>90</v>
      </c>
      <c r="I4" s="189"/>
      <c r="J4" s="190"/>
    </row>
    <row r="5" spans="2:16" ht="18.75" x14ac:dyDescent="0.3">
      <c r="B5" s="40"/>
      <c r="C5" s="41"/>
      <c r="D5" s="41"/>
      <c r="E5" s="41"/>
      <c r="F5" s="42"/>
      <c r="G5" s="39"/>
      <c r="H5" s="196" t="str">
        <f>LOOKUP(Sheet6!$B$4,Sheet4!$B$1:$X$1,Sheet4!B3:X3)</f>
        <v>Pz27 plate  50 x 40 x 1 [mm]</v>
      </c>
      <c r="I5" s="197"/>
      <c r="J5" s="198"/>
    </row>
    <row r="6" spans="2:16" ht="3.75" customHeight="1" thickBot="1" x14ac:dyDescent="0.25">
      <c r="B6" s="43"/>
      <c r="C6" s="44"/>
      <c r="D6" s="44"/>
      <c r="E6" s="44"/>
      <c r="F6" s="45"/>
      <c r="G6" s="39"/>
      <c r="H6" s="46"/>
      <c r="I6" s="47"/>
      <c r="J6" s="48"/>
    </row>
    <row r="7" spans="2:16" ht="19.5" thickBot="1" x14ac:dyDescent="0.35">
      <c r="B7" s="82" t="s">
        <v>304</v>
      </c>
      <c r="C7" s="50"/>
      <c r="D7" s="51"/>
      <c r="E7" s="51"/>
      <c r="F7" s="45"/>
      <c r="G7" s="39"/>
      <c r="H7" s="52" t="s">
        <v>98</v>
      </c>
      <c r="I7" s="53">
        <f>LOOKUP(Sheet6!$B$4,Sheet4!$B$1:$X$1,Sheet4!C5:Y5)</f>
        <v>31924.115661021999</v>
      </c>
      <c r="J7" s="54" t="s">
        <v>2</v>
      </c>
    </row>
    <row r="8" spans="2:16" ht="8.25" customHeight="1" thickBot="1" x14ac:dyDescent="0.35">
      <c r="B8" s="55"/>
      <c r="C8" s="50"/>
      <c r="D8" s="51"/>
      <c r="E8" s="51"/>
      <c r="F8" s="45"/>
      <c r="G8" s="39"/>
      <c r="H8" s="46"/>
      <c r="I8" s="56"/>
      <c r="J8" s="54"/>
    </row>
    <row r="9" spans="2:16" ht="19.5" thickBot="1" x14ac:dyDescent="0.35">
      <c r="B9" s="82" t="s">
        <v>305</v>
      </c>
      <c r="C9" s="50"/>
      <c r="D9" s="51"/>
      <c r="E9" s="51"/>
      <c r="F9" s="45"/>
      <c r="G9" s="39"/>
      <c r="H9" s="52" t="s">
        <v>310</v>
      </c>
      <c r="I9" s="56"/>
      <c r="J9" s="54"/>
      <c r="L9" s="182"/>
      <c r="M9" s="183"/>
      <c r="N9" s="183"/>
      <c r="O9" s="183"/>
      <c r="P9" s="184"/>
    </row>
    <row r="10" spans="2:16" ht="19.5" thickBot="1" x14ac:dyDescent="0.35">
      <c r="B10" s="49"/>
      <c r="C10" s="50"/>
      <c r="D10" s="51"/>
      <c r="E10" s="51"/>
      <c r="F10" s="45"/>
      <c r="G10" s="39"/>
      <c r="H10" s="57" t="s">
        <v>82</v>
      </c>
      <c r="I10" s="58" t="str">
        <f>LOOKUP(Sheet6!$B$4,Sheet4!$B$1:$X$1,Sheet4!C8:Y8)</f>
        <v>N/A</v>
      </c>
      <c r="J10" s="54" t="s">
        <v>3</v>
      </c>
      <c r="L10" s="193" t="s">
        <v>306</v>
      </c>
      <c r="M10" s="194"/>
      <c r="N10" s="194"/>
      <c r="O10" s="194"/>
      <c r="P10" s="195"/>
    </row>
    <row r="11" spans="2:16" ht="19.5" thickBot="1" x14ac:dyDescent="0.35">
      <c r="B11" s="82" t="s">
        <v>40</v>
      </c>
      <c r="C11" s="50"/>
      <c r="D11" s="51"/>
      <c r="E11" s="51"/>
      <c r="F11" s="45"/>
      <c r="G11" s="39"/>
      <c r="H11" s="112" t="str">
        <f>IF(I10="N/A","","        valid for D &gt;&gt; Th")</f>
        <v/>
      </c>
      <c r="I11" s="90"/>
      <c r="J11" s="91"/>
      <c r="L11" s="185" t="s">
        <v>99</v>
      </c>
      <c r="M11" s="186"/>
      <c r="N11" s="186"/>
      <c r="O11" s="186"/>
      <c r="P11" s="187"/>
    </row>
    <row r="12" spans="2:16" ht="19.5" thickBot="1" x14ac:dyDescent="0.35">
      <c r="B12" s="49"/>
      <c r="C12" s="83" t="str">
        <f>CHOOSE(MATCH(Sheet6!B4,{1,2,3,4,5,6},0), "Diameter", "Outer diameter", "Outer diameter","Length","Length_3","Outer diameter","L")</f>
        <v>Length</v>
      </c>
      <c r="D12" s="113">
        <v>50</v>
      </c>
      <c r="E12" s="83" t="s">
        <v>0</v>
      </c>
      <c r="F12" s="59" t="str">
        <f>Sheet5!K13</f>
        <v/>
      </c>
      <c r="G12" s="39"/>
      <c r="H12" s="86" t="s">
        <v>83</v>
      </c>
      <c r="I12" s="87">
        <f>LOOKUP(Sheet6!$B$4,Sheet4!$B$1:$X$1,Sheet4!C9:Y9)</f>
        <v>1952.94</v>
      </c>
      <c r="J12" s="88" t="s">
        <v>3</v>
      </c>
      <c r="L12" s="185" t="s">
        <v>105</v>
      </c>
      <c r="M12" s="186"/>
      <c r="N12" s="186"/>
      <c r="O12" s="186"/>
      <c r="P12" s="187"/>
    </row>
    <row r="13" spans="2:16" ht="19.5" thickBot="1" x14ac:dyDescent="0.35">
      <c r="B13" s="49"/>
      <c r="C13" s="83" t="str">
        <f>CHOOSE(MATCH(Sheet6!B4,{1,2,3,4,5,6},0),"","Inner diameter","Inner diameter","Width","Width_2 ","Inner diameter","Width")</f>
        <v>Width</v>
      </c>
      <c r="D13" s="113">
        <v>40</v>
      </c>
      <c r="E13" s="83" t="str">
        <f>CHOOSE(MATCH(Sheet6!B4,{1,2,3,4,5,6},0),"","mm","mm","mm","mm","mm","mm")</f>
        <v>mm</v>
      </c>
      <c r="F13" s="59" t="str">
        <f>Sheet5!K14</f>
        <v/>
      </c>
      <c r="G13" s="39"/>
      <c r="H13" s="112" t="str">
        <f>IF(I12="N/A","","        valid for Th &lt;&lt; L, W, D or OD")</f>
        <v xml:space="preserve">        valid for Th &lt;&lt; L, W, D or OD</v>
      </c>
      <c r="I13" s="90"/>
      <c r="J13" s="91"/>
      <c r="L13" s="173" t="s">
        <v>180</v>
      </c>
      <c r="M13" s="174"/>
      <c r="N13" s="174"/>
      <c r="O13" s="174"/>
      <c r="P13" s="175"/>
    </row>
    <row r="14" spans="2:16" ht="19.5" thickBot="1" x14ac:dyDescent="0.35">
      <c r="B14" s="49"/>
      <c r="C14" s="83" t="str">
        <f>CHOOSE(MATCH(Sheet6!B4,{1,2,3,4,5,6},0), "Thickness", "Thickness", "Length","Thickness","Thickness_1","Length_3","Thickness")</f>
        <v>Thickness</v>
      </c>
      <c r="D14" s="113">
        <v>1</v>
      </c>
      <c r="E14" s="83" t="s">
        <v>0</v>
      </c>
      <c r="F14" s="59" t="str">
        <f>Sheet5!K15</f>
        <v/>
      </c>
      <c r="G14" s="39"/>
      <c r="H14" s="86" t="s">
        <v>162</v>
      </c>
      <c r="I14" s="89" t="str">
        <f>LOOKUP(Sheet6!$B$4,Sheet4!$B$1:$X$1,Sheet4!C10:Y10)</f>
        <v>N/A</v>
      </c>
      <c r="J14" s="88" t="s">
        <v>3</v>
      </c>
      <c r="L14" s="176"/>
      <c r="M14" s="177"/>
      <c r="N14" s="177"/>
      <c r="O14" s="177"/>
      <c r="P14" s="178"/>
    </row>
    <row r="15" spans="2:16" ht="19.5" thickBot="1" x14ac:dyDescent="0.35">
      <c r="B15" s="49"/>
      <c r="C15" s="50"/>
      <c r="D15" s="60"/>
      <c r="E15" s="61"/>
      <c r="F15" s="45"/>
      <c r="G15" s="39"/>
      <c r="H15" s="112" t="str">
        <f>IF(I14="N/A","","        valid for (OD+ID)/2 &gt;&gt; "&amp;C14)</f>
        <v/>
      </c>
      <c r="I15" s="90"/>
      <c r="J15" s="91"/>
    </row>
    <row r="16" spans="2:16" ht="19.5" thickBot="1" x14ac:dyDescent="0.35">
      <c r="B16" s="49"/>
      <c r="C16" s="50"/>
      <c r="D16" s="60"/>
      <c r="E16" s="61"/>
      <c r="F16" s="45"/>
      <c r="G16" s="39"/>
      <c r="H16" s="86" t="s">
        <v>163</v>
      </c>
      <c r="I16" s="87" t="str">
        <f>LOOKUP(Sheet6!$B$4,Sheet4!$B$1:$X$1,Sheet4!C11:Y11)</f>
        <v>N/A</v>
      </c>
      <c r="J16" s="88" t="s">
        <v>3</v>
      </c>
    </row>
    <row r="17" spans="1:10" ht="19.5" thickBot="1" x14ac:dyDescent="0.35">
      <c r="B17" s="49"/>
      <c r="C17" s="50"/>
      <c r="D17" s="60"/>
      <c r="E17" s="61"/>
      <c r="F17" s="45"/>
      <c r="G17" s="39"/>
      <c r="H17" s="112" t="str">
        <f>IF(I16="N/A","","        valid for (OD-ID)/2 &lt;&lt; OD, "&amp;C14)</f>
        <v/>
      </c>
      <c r="I17" s="90"/>
      <c r="J17" s="91"/>
    </row>
    <row r="18" spans="1:10" ht="19.5" thickBot="1" x14ac:dyDescent="0.35">
      <c r="B18" s="49"/>
      <c r="C18" s="50"/>
      <c r="D18" s="60"/>
      <c r="E18" s="61"/>
      <c r="F18" s="45"/>
      <c r="G18" s="39"/>
      <c r="H18" s="86" t="s">
        <v>86</v>
      </c>
      <c r="I18" s="87">
        <f>LOOKUP(Sheet6!$B$4,Sheet4!$B$1:$X$1,Sheet4!C12:Y12)</f>
        <v>28</v>
      </c>
      <c r="J18" s="88" t="s">
        <v>3</v>
      </c>
    </row>
    <row r="19" spans="1:10" ht="19.5" thickBot="1" x14ac:dyDescent="0.35">
      <c r="B19" s="49"/>
      <c r="C19" s="50"/>
      <c r="D19" s="60"/>
      <c r="E19" s="61"/>
      <c r="F19" s="45"/>
      <c r="G19" s="39"/>
      <c r="H19" s="112" t="str">
        <f>IF(I18="N/A","","        valid for L &gt;&gt; Th or OD")</f>
        <v xml:space="preserve">        valid for L &gt;&gt; Th or OD</v>
      </c>
      <c r="I19" s="90"/>
      <c r="J19" s="54"/>
    </row>
    <row r="20" spans="1:10" ht="19.5" thickBot="1" x14ac:dyDescent="0.35">
      <c r="B20" s="49"/>
      <c r="C20" s="50"/>
      <c r="D20" s="60"/>
      <c r="E20" s="61"/>
      <c r="F20" s="45"/>
      <c r="G20" s="39"/>
      <c r="H20" s="57" t="s">
        <v>87</v>
      </c>
      <c r="I20" s="58">
        <f>LOOKUP(Sheet6!$B$4,Sheet4!$B$1:$X$1,Sheet4!C13:Y13)</f>
        <v>35</v>
      </c>
      <c r="J20" s="54" t="s">
        <v>3</v>
      </c>
    </row>
    <row r="21" spans="1:10" ht="19.5" thickBot="1" x14ac:dyDescent="0.35">
      <c r="B21" s="49"/>
      <c r="C21" s="50"/>
      <c r="D21" s="60"/>
      <c r="E21" s="61"/>
      <c r="F21" s="45"/>
      <c r="G21" s="39"/>
      <c r="H21" s="112" t="str">
        <f>IF(I20="N/A","","        valid for W &gt;&gt; Th")</f>
        <v xml:space="preserve">        valid for W &gt;&gt; Th</v>
      </c>
      <c r="I21" s="90"/>
      <c r="J21" s="54"/>
    </row>
    <row r="22" spans="1:10" ht="19.5" thickBot="1" x14ac:dyDescent="0.35">
      <c r="B22" s="49"/>
      <c r="C22" s="50"/>
      <c r="D22" s="60"/>
      <c r="E22" s="61"/>
      <c r="F22" s="45"/>
      <c r="G22" s="39"/>
      <c r="H22" s="57" t="s">
        <v>88</v>
      </c>
      <c r="I22" s="58" t="str">
        <f>LOOKUP(Sheet6!$B$4,Sheet4!$B$1:$X$1,Sheet4!C14:Y14)</f>
        <v>N/A</v>
      </c>
      <c r="J22" s="54" t="s">
        <v>3</v>
      </c>
    </row>
    <row r="23" spans="1:10" ht="19.5" thickBot="1" x14ac:dyDescent="0.35">
      <c r="B23" s="94"/>
      <c r="C23" s="95"/>
      <c r="D23" s="75"/>
      <c r="E23" s="96"/>
      <c r="F23" s="97"/>
      <c r="G23" s="39"/>
      <c r="H23" s="92"/>
      <c r="I23" s="93"/>
      <c r="J23" s="77"/>
    </row>
    <row r="24" spans="1:10" ht="13.5" thickBot="1" x14ac:dyDescent="0.25">
      <c r="A24" s="39"/>
      <c r="B24" s="39"/>
      <c r="C24" s="39"/>
      <c r="D24" s="39"/>
      <c r="E24" s="39"/>
      <c r="F24" s="39"/>
      <c r="G24" s="39"/>
    </row>
    <row r="25" spans="1:10" ht="19.5" thickBot="1" x14ac:dyDescent="0.35">
      <c r="B25" s="98" t="s">
        <v>308</v>
      </c>
      <c r="C25" s="99"/>
      <c r="D25" s="100"/>
      <c r="E25" s="101"/>
      <c r="F25" s="42"/>
      <c r="G25" s="39"/>
      <c r="H25" s="105" t="str">
        <f>"Static displacement at "&amp;Sheet7!$C$33&amp;" V (no load)"</f>
        <v>Static displacement at 0 V (no load)</v>
      </c>
      <c r="I25" s="106"/>
      <c r="J25" s="107"/>
    </row>
    <row r="26" spans="1:10" ht="19.5" thickBot="1" x14ac:dyDescent="0.35">
      <c r="B26" s="49"/>
      <c r="C26" s="84" t="s">
        <v>303</v>
      </c>
      <c r="D26" s="113">
        <v>0</v>
      </c>
      <c r="E26" s="84" t="s">
        <v>107</v>
      </c>
      <c r="F26" s="45"/>
      <c r="G26" s="39"/>
      <c r="H26" s="57" t="s">
        <v>364</v>
      </c>
      <c r="I26" s="65" t="str">
        <f>LOOKUP(Sheet6!$B$4,Sheet4!$B$1:$X$1,Sheet4!C17:Y17)</f>
        <v>N/A</v>
      </c>
      <c r="J26" s="54" t="s">
        <v>106</v>
      </c>
    </row>
    <row r="27" spans="1:10" ht="21" customHeight="1" thickBot="1" x14ac:dyDescent="0.35">
      <c r="B27" s="49"/>
      <c r="C27" s="62"/>
      <c r="D27" s="63" t="str">
        <f>Sheet5!E8</f>
        <v/>
      </c>
      <c r="E27" s="64"/>
      <c r="F27" s="45"/>
      <c r="G27" s="39"/>
      <c r="H27" s="57" t="s">
        <v>158</v>
      </c>
      <c r="I27" s="65" t="str">
        <f>LOOKUP(Sheet6!$B$4,Sheet4!$B$1:$X$1,Sheet4!C18:Y18)</f>
        <v>N/A</v>
      </c>
      <c r="J27" s="54" t="s">
        <v>106</v>
      </c>
    </row>
    <row r="28" spans="1:10" ht="21" customHeight="1" thickBot="1" x14ac:dyDescent="0.35">
      <c r="B28" s="49"/>
      <c r="C28" s="62"/>
      <c r="D28" s="63"/>
      <c r="E28" s="64"/>
      <c r="F28" s="45"/>
      <c r="G28" s="39"/>
      <c r="H28" s="57" t="s">
        <v>159</v>
      </c>
      <c r="I28" s="65">
        <f>LOOKUP(Sheet6!$B$4,Sheet4!$B$1:$X$1,Sheet4!C19:Y19)</f>
        <v>0</v>
      </c>
      <c r="J28" s="54" t="s">
        <v>106</v>
      </c>
    </row>
    <row r="29" spans="1:10" ht="21" customHeight="1" thickBot="1" x14ac:dyDescent="0.35">
      <c r="B29" s="49"/>
      <c r="C29" s="62"/>
      <c r="D29" s="63"/>
      <c r="E29" s="64"/>
      <c r="F29" s="45"/>
      <c r="G29" s="39"/>
      <c r="H29" s="57" t="s">
        <v>160</v>
      </c>
      <c r="I29" s="65">
        <f>LOOKUP(Sheet6!$B$4,Sheet4!$B$1:$X$1,Sheet4!C20:Y20)</f>
        <v>0</v>
      </c>
      <c r="J29" s="54" t="s">
        <v>106</v>
      </c>
    </row>
    <row r="30" spans="1:10" ht="21" customHeight="1" thickBot="1" x14ac:dyDescent="0.35">
      <c r="B30" s="94"/>
      <c r="C30" s="102"/>
      <c r="D30" s="103"/>
      <c r="E30" s="104"/>
      <c r="F30" s="97"/>
      <c r="G30" s="39"/>
      <c r="H30" s="92" t="s">
        <v>161</v>
      </c>
      <c r="I30" s="65">
        <f>LOOKUP(Sheet6!$B$4,Sheet4!$B$1:$X$1,Sheet4!C21:Y21)</f>
        <v>0</v>
      </c>
      <c r="J30" s="77" t="s">
        <v>106</v>
      </c>
    </row>
    <row r="31" spans="1:10" ht="21" customHeight="1" thickBot="1" x14ac:dyDescent="0.25">
      <c r="A31" s="39"/>
      <c r="B31" s="39"/>
      <c r="C31" s="39"/>
      <c r="D31" s="39"/>
      <c r="E31" s="39"/>
      <c r="F31" s="39"/>
      <c r="G31" s="39"/>
    </row>
    <row r="32" spans="1:10" ht="19.5" thickBot="1" x14ac:dyDescent="0.35">
      <c r="B32" s="98" t="s">
        <v>309</v>
      </c>
      <c r="C32" s="99"/>
      <c r="D32" s="108" t="str">
        <f>Sheet5!E9</f>
        <v/>
      </c>
      <c r="E32" s="99"/>
      <c r="F32" s="42"/>
      <c r="G32" s="39"/>
      <c r="H32" s="105" t="s">
        <v>307</v>
      </c>
      <c r="I32" s="106"/>
      <c r="J32" s="107"/>
    </row>
    <row r="33" spans="2:10" ht="19.5" thickBot="1" x14ac:dyDescent="0.35">
      <c r="B33" s="66"/>
      <c r="C33" s="83" t="s">
        <v>164</v>
      </c>
      <c r="D33" s="113">
        <v>0</v>
      </c>
      <c r="E33" s="83" t="s">
        <v>108</v>
      </c>
      <c r="F33" s="45"/>
      <c r="G33" s="39"/>
      <c r="H33" s="57" t="s">
        <v>296</v>
      </c>
      <c r="I33" s="65">
        <f>LOOKUP(Sheet6!$B$4,Sheet4!$B$1:$X$1,Sheet4!C24:Y24)</f>
        <v>0</v>
      </c>
      <c r="J33" s="54" t="s">
        <v>107</v>
      </c>
    </row>
    <row r="34" spans="2:10" ht="19.5" thickBot="1" x14ac:dyDescent="0.35">
      <c r="B34" s="66"/>
      <c r="C34" s="83" t="s">
        <v>165</v>
      </c>
      <c r="D34" s="113">
        <v>0</v>
      </c>
      <c r="E34" s="83" t="s">
        <v>108</v>
      </c>
      <c r="F34" s="45"/>
      <c r="G34" s="39"/>
      <c r="H34" s="57" t="s">
        <v>297</v>
      </c>
      <c r="I34" s="65">
        <f>LOOKUP(Sheet6!$B$4,Sheet4!$B$1:$X$1,Sheet4!C25:Y25)</f>
        <v>0</v>
      </c>
      <c r="J34" s="54" t="s">
        <v>107</v>
      </c>
    </row>
    <row r="35" spans="2:10" ht="19.5" thickBot="1" x14ac:dyDescent="0.35">
      <c r="B35" s="66"/>
      <c r="C35" s="83" t="s">
        <v>166</v>
      </c>
      <c r="D35" s="113">
        <v>0</v>
      </c>
      <c r="E35" s="83" t="s">
        <v>108</v>
      </c>
      <c r="F35" s="45"/>
      <c r="G35" s="39"/>
      <c r="H35" s="57" t="s">
        <v>298</v>
      </c>
      <c r="I35" s="65">
        <f>LOOKUP(Sheet6!$B$4,Sheet4!$B$1:$X$1,Sheet4!C26:Y26)</f>
        <v>0</v>
      </c>
      <c r="J35" s="54" t="s">
        <v>107</v>
      </c>
    </row>
    <row r="36" spans="2:10" ht="16.5" thickBot="1" x14ac:dyDescent="0.3">
      <c r="B36" s="109"/>
      <c r="C36" s="110"/>
      <c r="D36" s="110"/>
      <c r="E36" s="110"/>
      <c r="F36" s="111"/>
      <c r="G36" s="39"/>
      <c r="H36" s="92" t="s">
        <v>299</v>
      </c>
      <c r="I36" s="65" t="str">
        <f>LOOKUP(Sheet6!$B$4,Sheet4!$B$1:$X$1,Sheet4!C27:Y27)</f>
        <v>N/A</v>
      </c>
      <c r="J36" s="77" t="s">
        <v>107</v>
      </c>
    </row>
    <row r="37" spans="2:10" ht="14.25" customHeight="1" x14ac:dyDescent="0.2">
      <c r="B37" s="172"/>
      <c r="C37" s="172"/>
      <c r="D37" s="172"/>
      <c r="E37" s="172"/>
      <c r="F37" s="172"/>
      <c r="G37" s="39"/>
    </row>
    <row r="38" spans="2:10" x14ac:dyDescent="0.2">
      <c r="G38" s="39"/>
    </row>
    <row r="39" spans="2:10" x14ac:dyDescent="0.2">
      <c r="G39" s="39"/>
    </row>
    <row r="40" spans="2:10" x14ac:dyDescent="0.2">
      <c r="G40" s="39"/>
    </row>
    <row r="41" spans="2:10" x14ac:dyDescent="0.2">
      <c r="G41" s="39"/>
    </row>
    <row r="42" spans="2:10" x14ac:dyDescent="0.2">
      <c r="G42" s="39"/>
    </row>
    <row r="43" spans="2:10" ht="3.75" customHeight="1" x14ac:dyDescent="0.2"/>
  </sheetData>
  <sheetProtection algorithmName="SHA-512" hashValue="KLL4vuM2ZlBfck28xJD5PcyhyqlxuSDs1kgLwJ3PgPiESvIOw9iyC/FEgP3EsVAMZpjslGH6vxqknDWp3pShNQ==" saltValue="v30AZVymUIXjUexWb3aSuA==" spinCount="100000" sheet="1" selectLockedCells="1"/>
  <mergeCells count="10">
    <mergeCell ref="B37:F37"/>
    <mergeCell ref="L13:P14"/>
    <mergeCell ref="B2:J2"/>
    <mergeCell ref="L9:P9"/>
    <mergeCell ref="L12:P12"/>
    <mergeCell ref="L11:P11"/>
    <mergeCell ref="H4:J4"/>
    <mergeCell ref="B4:F4"/>
    <mergeCell ref="L10:P10"/>
    <mergeCell ref="H5:J5"/>
  </mergeCells>
  <phoneticPr fontId="0" type="noConversion"/>
  <hyperlinks>
    <hyperlink ref="L12" location="Notes!A1" display="Click here to see spreadsheet notes" xr:uid="{CA2E6B4E-A984-4355-82C7-6AEEDF59423D}"/>
    <hyperlink ref="L12:P12" location="Notes!A1" display="IMPORTANT NOTES ABOUT THE SPREADSHEET" xr:uid="{5898D29B-133D-47B7-8AB0-0C4DCB1E0690}"/>
    <hyperlink ref="L11" r:id="rId1" display="Further information" xr:uid="{0BCF39E7-F3F4-4FBE-8095-AD6183C6E08E}"/>
    <hyperlink ref="L11:P11" r:id="rId2" display="Click here for further information" xr:uid="{84AB8E82-E69B-4706-AB9F-DA2422A4D3BB}"/>
    <hyperlink ref="L10" r:id="rId3" display="Click here to E-mail autors" xr:uid="{50E3717D-B57C-4F6C-82BA-6B297574460E}"/>
    <hyperlink ref="L10:P10" r:id="rId4" display="Click here to contact authors" xr:uid="{476FE59B-57CB-409D-8356-BD9046971C0D}"/>
  </hyperlinks>
  <printOptions horizontalCentered="1" verticalCentered="1"/>
  <pageMargins left="0.73" right="0.78" top="0.6692913385826772" bottom="1.19" header="0.31496062992125984" footer="0.56999999999999995"/>
  <pageSetup paperSize="9" orientation="portrait" horizontalDpi="4294967293" verticalDpi="4294967293" r:id="rId5"/>
  <headerFooter alignWithMargins="0">
    <oddHeader>&amp;CFerroperm Piezoelectric Calculator</oddHeader>
    <oddFooter>&amp;CFerroperm Piezoceramics A/S
Hejreskovvej 18A    DK-3490 Kvistgaard    Denmark    Tel: +45 - 4912 7100    Fax: +45 - 4913 8188
Internet:  www.ferroperm-piezo.com   E-mail: pz@ferroperm-piezo.com</oddFooter>
  </headerFooter>
  <ignoredErrors>
    <ignoredError sqref="I7 H5 I10 I12 I14 I16 I18 I20 I22 I26:I30 I33:I36" emptyCellReference="1"/>
  </ignoredErrors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8" name="Drop Down 1">
              <controlPr defaultSize="0" autoLine="0" autoPict="0">
                <anchor moveWithCells="1">
                  <from>
                    <xdr:col>3</xdr:col>
                    <xdr:colOff>0</xdr:colOff>
                    <xdr:row>6</xdr:row>
                    <xdr:rowOff>28575</xdr:rowOff>
                  </from>
                  <to>
                    <xdr:col>5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9" name="Drop Down 3">
              <controlPr defaultSize="0" autoLine="0" autoPict="0">
                <anchor moveWithCells="1">
                  <from>
                    <xdr:col>3</xdr:col>
                    <xdr:colOff>0</xdr:colOff>
                    <xdr:row>8</xdr:row>
                    <xdr:rowOff>9525</xdr:rowOff>
                  </from>
                  <to>
                    <xdr:col>4</xdr:col>
                    <xdr:colOff>342900</xdr:colOff>
                    <xdr:row>9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9630806-336D-4864-8A5D-7781FDE6E314}">
          <x14:formula1>
            <xm:f>Sheet5!$A$3:$A$48</xm:f>
          </x14:formula1>
          <xm:sqref>F7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11">
    <pageSetUpPr fitToPage="1"/>
  </sheetPr>
  <dimension ref="A1:R20"/>
  <sheetViews>
    <sheetView workbookViewId="0">
      <selection activeCell="B20" sqref="B20:C20"/>
    </sheetView>
  </sheetViews>
  <sheetFormatPr defaultColWidth="8.85546875" defaultRowHeight="15" x14ac:dyDescent="0.2"/>
  <cols>
    <col min="1" max="1" width="3.28515625" style="10" customWidth="1"/>
    <col min="2" max="2" width="20.28515625" style="10" customWidth="1"/>
    <col min="3" max="16384" width="8.85546875" style="10"/>
  </cols>
  <sheetData>
    <row r="1" spans="1:18" ht="21" x14ac:dyDescent="0.35">
      <c r="A1" s="81" t="s">
        <v>302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</row>
    <row r="2" spans="1:18" ht="15.75" x14ac:dyDescent="0.25"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8" ht="15.75" x14ac:dyDescent="0.25">
      <c r="B3" s="73" t="s">
        <v>157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ht="15.75" x14ac:dyDescent="0.25">
      <c r="B4" s="73" t="s">
        <v>301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18" ht="15.75" x14ac:dyDescent="0.25">
      <c r="B5" s="73" t="s">
        <v>300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1:18" ht="15.75" x14ac:dyDescent="0.25">
      <c r="B6" s="73" t="s">
        <v>168</v>
      </c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</row>
    <row r="7" spans="1:18" ht="15.75" x14ac:dyDescent="0.25"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</row>
    <row r="8" spans="1:18" ht="15.75" x14ac:dyDescent="0.25">
      <c r="B8" s="78" t="s">
        <v>93</v>
      </c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</row>
    <row r="9" spans="1:18" ht="15.75" x14ac:dyDescent="0.25">
      <c r="B9" s="79" t="s">
        <v>91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18" ht="15.75" x14ac:dyDescent="0.25">
      <c r="B10" s="79" t="s">
        <v>92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</row>
    <row r="11" spans="1:18" ht="15.75" x14ac:dyDescent="0.25">
      <c r="B11" s="79" t="s">
        <v>97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</row>
    <row r="12" spans="1:18" ht="15.75" x14ac:dyDescent="0.25">
      <c r="B12" s="79" t="s">
        <v>117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</row>
    <row r="13" spans="1:18" ht="15.75" x14ac:dyDescent="0.25">
      <c r="B13" s="79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</row>
    <row r="14" spans="1:18" ht="15.75" x14ac:dyDescent="0.25">
      <c r="B14" s="80" t="s">
        <v>94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</row>
    <row r="15" spans="1:18" ht="15.75" x14ac:dyDescent="0.25">
      <c r="B15" s="79" t="s">
        <v>167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</row>
    <row r="16" spans="1:18" ht="15.75" x14ac:dyDescent="0.25">
      <c r="B16" s="79" t="s">
        <v>100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</row>
    <row r="17" spans="2:18" ht="15.75" x14ac:dyDescent="0.25">
      <c r="B17" s="79" t="s">
        <v>101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</row>
    <row r="18" spans="2:18" ht="15.75" x14ac:dyDescent="0.25">
      <c r="B18" s="79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</row>
    <row r="19" spans="2:18" ht="16.5" thickBot="1" x14ac:dyDescent="0.3"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</row>
    <row r="20" spans="2:18" ht="20.100000000000001" customHeight="1" thickBot="1" x14ac:dyDescent="0.3">
      <c r="B20" s="199" t="s">
        <v>89</v>
      </c>
      <c r="C20" s="200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</row>
  </sheetData>
  <mergeCells count="1">
    <mergeCell ref="B20:C20"/>
  </mergeCells>
  <phoneticPr fontId="0" type="noConversion"/>
  <hyperlinks>
    <hyperlink ref="B20" location="Forside!A1" display="Back to calculator" xr:uid="{00000000-0004-0000-0200-000000000000}"/>
    <hyperlink ref="B20:C20" location="'Front page'!A1" display="Back to calculator" xr:uid="{A3AC9856-5463-48B3-B6E2-F70C70154718}"/>
  </hyperlinks>
  <pageMargins left="0.75" right="0.75" top="1" bottom="1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>
    <pageSetUpPr fitToPage="1"/>
  </sheetPr>
  <dimension ref="B1:X28"/>
  <sheetViews>
    <sheetView workbookViewId="0"/>
  </sheetViews>
  <sheetFormatPr defaultColWidth="8.85546875" defaultRowHeight="12.75" x14ac:dyDescent="0.2"/>
  <cols>
    <col min="1" max="1" width="3" style="7" customWidth="1"/>
    <col min="2" max="2" width="28.42578125" style="7" customWidth="1"/>
    <col min="3" max="3" width="9.7109375" style="7" bestFit="1" customWidth="1"/>
    <col min="4" max="5" width="8.85546875" style="7"/>
    <col min="6" max="6" width="28.42578125" style="7" customWidth="1"/>
    <col min="7" max="9" width="8.85546875" style="7"/>
    <col min="10" max="10" width="28.42578125" style="7" customWidth="1"/>
    <col min="11" max="13" width="8.85546875" style="7"/>
    <col min="14" max="14" width="28.42578125" style="7" customWidth="1"/>
    <col min="15" max="15" width="11.85546875" style="7" customWidth="1"/>
    <col min="16" max="17" width="8.85546875" style="7"/>
    <col min="18" max="18" width="28.42578125" style="7" customWidth="1"/>
    <col min="19" max="21" width="8.85546875" style="7"/>
    <col min="22" max="22" width="28.42578125" style="7" customWidth="1"/>
    <col min="23" max="16384" width="8.85546875" style="7"/>
  </cols>
  <sheetData>
    <row r="1" spans="2:24" x14ac:dyDescent="0.2">
      <c r="B1" s="7">
        <v>1</v>
      </c>
      <c r="F1" s="7">
        <v>2</v>
      </c>
      <c r="J1" s="7">
        <v>3</v>
      </c>
      <c r="N1" s="7">
        <v>4</v>
      </c>
      <c r="R1" s="7">
        <v>5</v>
      </c>
      <c r="V1" s="7">
        <v>6</v>
      </c>
    </row>
    <row r="2" spans="2:24" ht="13.5" thickBot="1" x14ac:dyDescent="0.25"/>
    <row r="3" spans="2:24" ht="18" x14ac:dyDescent="0.25">
      <c r="B3" s="114" t="str">
        <f>Sheet6!$C$10&amp;" disc  "&amp;'Front page'!$D$12&amp;" x "&amp;'Front page'!$D$14&amp;" [mm]"</f>
        <v>Pz27 disc  50 x 1 [mm]</v>
      </c>
      <c r="C3" s="115"/>
      <c r="D3" s="116"/>
      <c r="E3" s="117"/>
      <c r="F3" s="114" t="str">
        <f>Sheet6!$C$10&amp;" ring  "&amp;'Front page'!$D$12&amp;" x "&amp;'Front page'!$D$13&amp;" x "&amp;'Front page'!$D$14&amp;" [mm]"</f>
        <v>Pz27 ring  50 x 40 x 1 [mm]</v>
      </c>
      <c r="G3" s="115"/>
      <c r="H3" s="116"/>
      <c r="I3" s="117"/>
      <c r="J3" s="114" t="str">
        <f>Sheet6!$C$10&amp;" tube  "&amp;'Front page'!$D$12&amp;" x "&amp;'Front page'!$D$13&amp;" x "&amp;'Front page'!$D$14&amp;" [mm]"</f>
        <v>Pz27 tube  50 x 40 x 1 [mm]</v>
      </c>
      <c r="K3" s="115"/>
      <c r="L3" s="116"/>
      <c r="M3" s="117"/>
      <c r="N3" s="114" t="str">
        <f>Sheet6!$C$10&amp;" plate  "&amp;'Front page'!$D$12&amp;" x "&amp;'Front page'!$D$13&amp;" x "&amp;'Front page'!$D$14&amp;" [mm]"</f>
        <v>Pz27 plate  50 x 40 x 1 [mm]</v>
      </c>
      <c r="O3" s="115"/>
      <c r="P3" s="116"/>
      <c r="Q3" s="117"/>
      <c r="R3" s="114" t="str">
        <f>Sheet6!$C$10&amp;" shear plate  "&amp;'Front page'!$D$12&amp;" x "&amp;'Front page'!$D$13&amp;" x "&amp;'Front page'!$D$14&amp;" [mm]"</f>
        <v>Pz27 shear plate  50 x 40 x 1 [mm]</v>
      </c>
      <c r="S3" s="115"/>
      <c r="T3" s="116"/>
      <c r="U3" s="117"/>
      <c r="V3" s="114" t="str">
        <f>Sheet6!$C$10&amp;" shear tube  "&amp;'Front page'!$D$12&amp;" x "&amp;'Front page'!$D$13&amp;" x "&amp;'Front page'!$D$14&amp;" [mm]"</f>
        <v>Pz27 shear tube  50 x 40 x 1 [mm]</v>
      </c>
      <c r="W3" s="115"/>
      <c r="X3" s="116"/>
    </row>
    <row r="4" spans="2:24" ht="18.75" thickBot="1" x14ac:dyDescent="0.3">
      <c r="B4" s="118"/>
      <c r="C4" s="119"/>
      <c r="D4" s="120"/>
      <c r="E4" s="117"/>
      <c r="F4" s="118"/>
      <c r="G4" s="119"/>
      <c r="H4" s="120"/>
      <c r="I4" s="117"/>
      <c r="J4" s="118"/>
      <c r="K4" s="119"/>
      <c r="L4" s="120"/>
      <c r="M4" s="117"/>
      <c r="N4" s="118"/>
      <c r="O4" s="119"/>
      <c r="P4" s="120"/>
      <c r="Q4" s="117"/>
      <c r="R4" s="118"/>
      <c r="S4" s="119"/>
      <c r="T4" s="120"/>
      <c r="U4" s="117"/>
      <c r="V4" s="118"/>
      <c r="W4" s="119"/>
      <c r="X4" s="120"/>
    </row>
    <row r="5" spans="2:24" ht="13.5" thickBot="1" x14ac:dyDescent="0.25">
      <c r="B5" s="121" t="s">
        <v>98</v>
      </c>
      <c r="C5" s="122">
        <f>Sheet7!$F$7</f>
        <v>31341.427260318</v>
      </c>
      <c r="D5" s="123" t="s">
        <v>2</v>
      </c>
      <c r="E5" s="117"/>
      <c r="F5" s="121" t="s">
        <v>98</v>
      </c>
      <c r="G5" s="122">
        <f>Sheet8!$F$7</f>
        <v>11282.913813714484</v>
      </c>
      <c r="H5" s="123" t="s">
        <v>2</v>
      </c>
      <c r="I5" s="117"/>
      <c r="J5" s="121" t="s">
        <v>98</v>
      </c>
      <c r="K5" s="122">
        <f>Sheet9!$F$7</f>
        <v>449.45312845628695</v>
      </c>
      <c r="L5" s="123" t="s">
        <v>2</v>
      </c>
      <c r="M5" s="117"/>
      <c r="N5" s="121" t="s">
        <v>98</v>
      </c>
      <c r="O5" s="122">
        <f>Sheet10!$F$7</f>
        <v>31924.115661021999</v>
      </c>
      <c r="P5" s="123" t="s">
        <v>2</v>
      </c>
      <c r="Q5" s="117"/>
      <c r="R5" s="121" t="s">
        <v>98</v>
      </c>
      <c r="S5" s="122">
        <f>Sheet11!$F$7</f>
        <v>31804.052921914004</v>
      </c>
      <c r="T5" s="123" t="s">
        <v>2</v>
      </c>
      <c r="U5" s="117"/>
      <c r="V5" s="121" t="s">
        <v>98</v>
      </c>
      <c r="W5" s="122">
        <f>Sheet12!$F$7</f>
        <v>447.7627895828125</v>
      </c>
      <c r="X5" s="123" t="s">
        <v>2</v>
      </c>
    </row>
    <row r="6" spans="2:24" x14ac:dyDescent="0.2">
      <c r="B6" s="121"/>
      <c r="C6" s="124"/>
      <c r="D6" s="123"/>
      <c r="E6" s="117"/>
      <c r="F6" s="121"/>
      <c r="G6" s="124"/>
      <c r="H6" s="123"/>
      <c r="I6" s="117"/>
      <c r="J6" s="121"/>
      <c r="K6" s="124"/>
      <c r="L6" s="123"/>
      <c r="M6" s="117"/>
      <c r="N6" s="121"/>
      <c r="O6" s="124"/>
      <c r="P6" s="123"/>
      <c r="Q6" s="117"/>
      <c r="R6" s="121"/>
      <c r="S6" s="124"/>
      <c r="T6" s="123"/>
      <c r="U6" s="117"/>
      <c r="V6" s="121"/>
      <c r="W6" s="124"/>
      <c r="X6" s="123"/>
    </row>
    <row r="7" spans="2:24" ht="13.5" thickBot="1" x14ac:dyDescent="0.25">
      <c r="B7" s="125" t="s">
        <v>81</v>
      </c>
      <c r="C7" s="126"/>
      <c r="D7" s="123"/>
      <c r="E7" s="117"/>
      <c r="F7" s="125" t="s">
        <v>81</v>
      </c>
      <c r="G7" s="126"/>
      <c r="H7" s="123"/>
      <c r="I7" s="117"/>
      <c r="J7" s="125" t="s">
        <v>81</v>
      </c>
      <c r="K7" s="126"/>
      <c r="L7" s="123"/>
      <c r="M7" s="117"/>
      <c r="N7" s="125" t="s">
        <v>81</v>
      </c>
      <c r="O7" s="126"/>
      <c r="P7" s="123"/>
      <c r="Q7" s="117"/>
      <c r="R7" s="125" t="s">
        <v>81</v>
      </c>
      <c r="S7" s="126"/>
      <c r="T7" s="123"/>
      <c r="U7" s="117"/>
      <c r="V7" s="125" t="s">
        <v>81</v>
      </c>
      <c r="W7" s="126"/>
      <c r="X7" s="123"/>
    </row>
    <row r="8" spans="2:24" ht="13.5" thickBot="1" x14ac:dyDescent="0.25">
      <c r="B8" s="127" t="s">
        <v>82</v>
      </c>
      <c r="C8" s="122">
        <f>Sheet7!$F$8</f>
        <v>40.221599999999995</v>
      </c>
      <c r="D8" s="123" t="s">
        <v>3</v>
      </c>
      <c r="E8" s="117"/>
      <c r="F8" s="127" t="s">
        <v>82</v>
      </c>
      <c r="G8" s="122" t="s">
        <v>80</v>
      </c>
      <c r="H8" s="123" t="s">
        <v>3</v>
      </c>
      <c r="I8" s="117"/>
      <c r="J8" s="127" t="s">
        <v>82</v>
      </c>
      <c r="K8" s="122" t="s">
        <v>80</v>
      </c>
      <c r="L8" s="123" t="s">
        <v>3</v>
      </c>
      <c r="M8" s="117"/>
      <c r="N8" s="127" t="s">
        <v>82</v>
      </c>
      <c r="O8" s="122" t="s">
        <v>80</v>
      </c>
      <c r="P8" s="123" t="s">
        <v>3</v>
      </c>
      <c r="Q8" s="117"/>
      <c r="R8" s="127" t="s">
        <v>82</v>
      </c>
      <c r="S8" s="122" t="s">
        <v>80</v>
      </c>
      <c r="T8" s="123" t="s">
        <v>3</v>
      </c>
      <c r="U8" s="117"/>
      <c r="V8" s="127" t="s">
        <v>82</v>
      </c>
      <c r="W8" s="122" t="s">
        <v>80</v>
      </c>
      <c r="X8" s="123" t="s">
        <v>3</v>
      </c>
    </row>
    <row r="9" spans="2:24" ht="13.5" thickBot="1" x14ac:dyDescent="0.25">
      <c r="B9" s="127" t="s">
        <v>83</v>
      </c>
      <c r="C9" s="122">
        <f>Sheet7!$F$9</f>
        <v>1952.94</v>
      </c>
      <c r="D9" s="123" t="s">
        <v>3</v>
      </c>
      <c r="E9" s="117"/>
      <c r="F9" s="127" t="s">
        <v>83</v>
      </c>
      <c r="G9" s="122">
        <f>Sheet8!$F$9</f>
        <v>1952.94</v>
      </c>
      <c r="H9" s="123" t="s">
        <v>3</v>
      </c>
      <c r="I9" s="117"/>
      <c r="J9" s="127" t="s">
        <v>83</v>
      </c>
      <c r="K9" s="122" t="s">
        <v>80</v>
      </c>
      <c r="L9" s="123" t="s">
        <v>3</v>
      </c>
      <c r="M9" s="117"/>
      <c r="N9" s="127" t="s">
        <v>83</v>
      </c>
      <c r="O9" s="122">
        <f>Sheet10!$F$10</f>
        <v>1952.94</v>
      </c>
      <c r="P9" s="123" t="s">
        <v>3</v>
      </c>
      <c r="Q9" s="117"/>
      <c r="R9" s="127" t="s">
        <v>83</v>
      </c>
      <c r="S9" s="122" t="s">
        <v>80</v>
      </c>
      <c r="T9" s="123" t="s">
        <v>3</v>
      </c>
      <c r="U9" s="117"/>
      <c r="V9" s="127" t="s">
        <v>83</v>
      </c>
      <c r="W9" s="122" t="s">
        <v>80</v>
      </c>
      <c r="X9" s="123" t="s">
        <v>3</v>
      </c>
    </row>
    <row r="10" spans="2:24" ht="13.5" thickBot="1" x14ac:dyDescent="0.25">
      <c r="B10" s="127" t="s">
        <v>84</v>
      </c>
      <c r="C10" s="122" t="s">
        <v>80</v>
      </c>
      <c r="D10" s="123" t="s">
        <v>3</v>
      </c>
      <c r="E10" s="117"/>
      <c r="F10" s="127" t="s">
        <v>84</v>
      </c>
      <c r="G10" s="122">
        <f>IFERROR(Sheet8!$F$10,"N/A")</f>
        <v>20.066666666666666</v>
      </c>
      <c r="H10" s="123" t="s">
        <v>3</v>
      </c>
      <c r="I10" s="117"/>
      <c r="J10" s="127" t="s">
        <v>84</v>
      </c>
      <c r="K10" s="122">
        <f>IFERROR(Sheet9!$F$10,"N/A")</f>
        <v>19.587430370003506</v>
      </c>
      <c r="L10" s="123" t="s">
        <v>3</v>
      </c>
      <c r="M10" s="117"/>
      <c r="N10" s="127" t="s">
        <v>84</v>
      </c>
      <c r="O10" s="122" t="s">
        <v>80</v>
      </c>
      <c r="P10" s="123" t="s">
        <v>3</v>
      </c>
      <c r="Q10" s="117"/>
      <c r="R10" s="127" t="s">
        <v>84</v>
      </c>
      <c r="S10" s="122" t="s">
        <v>80</v>
      </c>
      <c r="T10" s="123" t="s">
        <v>3</v>
      </c>
      <c r="U10" s="117"/>
      <c r="V10" s="127" t="s">
        <v>84</v>
      </c>
      <c r="W10" s="122" t="s">
        <v>80</v>
      </c>
      <c r="X10" s="123" t="s">
        <v>3</v>
      </c>
    </row>
    <row r="11" spans="2:24" ht="13.5" thickBot="1" x14ac:dyDescent="0.25">
      <c r="B11" s="127" t="s">
        <v>85</v>
      </c>
      <c r="C11" s="122" t="s">
        <v>80</v>
      </c>
      <c r="D11" s="123" t="s">
        <v>3</v>
      </c>
      <c r="E11" s="117"/>
      <c r="F11" s="127" t="s">
        <v>85</v>
      </c>
      <c r="G11" s="122">
        <f>Sheet8!F8</f>
        <v>280</v>
      </c>
      <c r="H11" s="123" t="s">
        <v>3</v>
      </c>
      <c r="I11" s="117"/>
      <c r="J11" s="127" t="s">
        <v>85</v>
      </c>
      <c r="K11" s="122">
        <f>Sheet9!$F$8</f>
        <v>299.99999999999994</v>
      </c>
      <c r="L11" s="123" t="s">
        <v>3</v>
      </c>
      <c r="M11" s="117"/>
      <c r="N11" s="127" t="s">
        <v>85</v>
      </c>
      <c r="O11" s="122" t="s">
        <v>80</v>
      </c>
      <c r="P11" s="123" t="s">
        <v>3</v>
      </c>
      <c r="Q11" s="117"/>
      <c r="R11" s="127" t="s">
        <v>85</v>
      </c>
      <c r="S11" s="122" t="s">
        <v>80</v>
      </c>
      <c r="T11" s="123" t="s">
        <v>3</v>
      </c>
      <c r="U11" s="117"/>
      <c r="V11" s="127" t="s">
        <v>85</v>
      </c>
      <c r="W11" s="122" t="s">
        <v>80</v>
      </c>
      <c r="X11" s="123" t="s">
        <v>3</v>
      </c>
    </row>
    <row r="12" spans="2:24" ht="13.5" thickBot="1" x14ac:dyDescent="0.25">
      <c r="B12" s="127" t="s">
        <v>86</v>
      </c>
      <c r="C12" s="122" t="s">
        <v>80</v>
      </c>
      <c r="D12" s="123" t="s">
        <v>3</v>
      </c>
      <c r="E12" s="117"/>
      <c r="F12" s="127" t="s">
        <v>86</v>
      </c>
      <c r="G12" s="122" t="s">
        <v>80</v>
      </c>
      <c r="H12" s="123" t="s">
        <v>3</v>
      </c>
      <c r="I12" s="117"/>
      <c r="J12" s="127" t="s">
        <v>86</v>
      </c>
      <c r="K12" s="122">
        <f>Sheet9!$F$9</f>
        <v>1400</v>
      </c>
      <c r="L12" s="123" t="s">
        <v>3</v>
      </c>
      <c r="M12" s="117"/>
      <c r="N12" s="127" t="s">
        <v>86</v>
      </c>
      <c r="O12" s="122">
        <f>Sheet10!$F$8</f>
        <v>28</v>
      </c>
      <c r="P12" s="123" t="s">
        <v>3</v>
      </c>
      <c r="Q12" s="117"/>
      <c r="R12" s="127" t="s">
        <v>86</v>
      </c>
      <c r="S12" s="122" t="s">
        <v>80</v>
      </c>
      <c r="T12" s="123" t="s">
        <v>3</v>
      </c>
      <c r="U12" s="117"/>
      <c r="V12" s="127" t="s">
        <v>86</v>
      </c>
      <c r="W12" s="122" t="s">
        <v>80</v>
      </c>
      <c r="X12" s="123" t="s">
        <v>3</v>
      </c>
    </row>
    <row r="13" spans="2:24" ht="13.5" thickBot="1" x14ac:dyDescent="0.25">
      <c r="B13" s="127" t="s">
        <v>87</v>
      </c>
      <c r="C13" s="122" t="s">
        <v>80</v>
      </c>
      <c r="D13" s="123" t="s">
        <v>3</v>
      </c>
      <c r="E13" s="117"/>
      <c r="F13" s="127" t="s">
        <v>87</v>
      </c>
      <c r="G13" s="122" t="s">
        <v>80</v>
      </c>
      <c r="H13" s="123" t="s">
        <v>3</v>
      </c>
      <c r="I13" s="117"/>
      <c r="J13" s="127" t="s">
        <v>87</v>
      </c>
      <c r="K13" s="122" t="s">
        <v>80</v>
      </c>
      <c r="L13" s="123" t="s">
        <v>3</v>
      </c>
      <c r="M13" s="117"/>
      <c r="N13" s="127" t="s">
        <v>87</v>
      </c>
      <c r="O13" s="122">
        <f>Sheet10!$F$9</f>
        <v>35</v>
      </c>
      <c r="P13" s="123" t="s">
        <v>3</v>
      </c>
      <c r="Q13" s="117"/>
      <c r="R13" s="127" t="s">
        <v>87</v>
      </c>
      <c r="S13" s="122" t="s">
        <v>80</v>
      </c>
      <c r="T13" s="123" t="s">
        <v>3</v>
      </c>
      <c r="U13" s="117"/>
      <c r="V13" s="127" t="s">
        <v>87</v>
      </c>
      <c r="W13" s="122" t="s">
        <v>80</v>
      </c>
      <c r="X13" s="123" t="s">
        <v>3</v>
      </c>
    </row>
    <row r="14" spans="2:24" ht="13.5" thickBot="1" x14ac:dyDescent="0.25">
      <c r="B14" s="127" t="s">
        <v>88</v>
      </c>
      <c r="C14" s="122" t="s">
        <v>80</v>
      </c>
      <c r="D14" s="123" t="s">
        <v>3</v>
      </c>
      <c r="E14" s="117"/>
      <c r="F14" s="127" t="s">
        <v>88</v>
      </c>
      <c r="G14" s="122" t="s">
        <v>80</v>
      </c>
      <c r="H14" s="123" t="s">
        <v>3</v>
      </c>
      <c r="I14" s="117"/>
      <c r="J14" s="127" t="s">
        <v>88</v>
      </c>
      <c r="K14" s="122" t="s">
        <v>80</v>
      </c>
      <c r="L14" s="123" t="s">
        <v>3</v>
      </c>
      <c r="M14" s="117"/>
      <c r="N14" s="127" t="s">
        <v>88</v>
      </c>
      <c r="O14" s="122" t="s">
        <v>80</v>
      </c>
      <c r="P14" s="123" t="s">
        <v>3</v>
      </c>
      <c r="Q14" s="117"/>
      <c r="R14" s="127" t="s">
        <v>88</v>
      </c>
      <c r="S14" s="122">
        <f>IFERROR(Sheet11!$F$9,"N/A")</f>
        <v>895.72</v>
      </c>
      <c r="T14" s="123" t="s">
        <v>3</v>
      </c>
      <c r="U14" s="117"/>
      <c r="V14" s="127" t="s">
        <v>88</v>
      </c>
      <c r="W14" s="122">
        <f>IFERROR(Sheet12!$F$8,"N/A")</f>
        <v>179.14399999999998</v>
      </c>
      <c r="X14" s="123" t="s">
        <v>3</v>
      </c>
    </row>
    <row r="15" spans="2:24" x14ac:dyDescent="0.2">
      <c r="B15" s="121"/>
      <c r="C15" s="126"/>
      <c r="D15" s="123"/>
      <c r="E15" s="117"/>
      <c r="F15" s="121"/>
      <c r="G15" s="126"/>
      <c r="H15" s="123"/>
      <c r="I15" s="117"/>
      <c r="J15" s="121"/>
      <c r="K15" s="126"/>
      <c r="L15" s="123"/>
      <c r="M15" s="117"/>
      <c r="N15" s="121"/>
      <c r="O15" s="126"/>
      <c r="P15" s="123"/>
      <c r="Q15" s="117"/>
      <c r="R15" s="121"/>
      <c r="S15" s="126"/>
      <c r="T15" s="123"/>
      <c r="U15" s="117"/>
      <c r="V15" s="121"/>
      <c r="W15" s="126"/>
      <c r="X15" s="123"/>
    </row>
    <row r="16" spans="2:24" ht="13.5" thickBot="1" x14ac:dyDescent="0.25">
      <c r="B16" s="125" t="str">
        <f>"Static displacement at "&amp;Sheet7!$C$33&amp;" volts"</f>
        <v>Static displacement at 0 volts</v>
      </c>
      <c r="C16" s="124"/>
      <c r="D16" s="123"/>
      <c r="E16" s="117"/>
      <c r="F16" s="125" t="str">
        <f>"Static displacement at "&amp;Sheet7!$C$33&amp;" volts"</f>
        <v>Static displacement at 0 volts</v>
      </c>
      <c r="G16" s="124"/>
      <c r="H16" s="123"/>
      <c r="I16" s="117"/>
      <c r="J16" s="125" t="str">
        <f>"Static displacement at "&amp;Sheet7!$C$33&amp;" volts"</f>
        <v>Static displacement at 0 volts</v>
      </c>
      <c r="K16" s="124"/>
      <c r="L16" s="123"/>
      <c r="M16" s="117"/>
      <c r="N16" s="125" t="str">
        <f>"Static displacement at "&amp;Sheet7!$C$33&amp;" volts"</f>
        <v>Static displacement at 0 volts</v>
      </c>
      <c r="O16" s="124"/>
      <c r="P16" s="123"/>
      <c r="Q16" s="117"/>
      <c r="R16" s="125" t="str">
        <f>"Static displacement at "&amp;Sheet7!$C$33&amp;" volts"</f>
        <v>Static displacement at 0 volts</v>
      </c>
      <c r="S16" s="124"/>
      <c r="T16" s="123"/>
      <c r="U16" s="117"/>
      <c r="V16" s="125" t="str">
        <f>"Static displacement at "&amp;Sheet7!$C$33&amp;" volts"</f>
        <v>Static displacement at 0 volts</v>
      </c>
      <c r="W16" s="124"/>
      <c r="X16" s="123"/>
    </row>
    <row r="17" spans="2:24" ht="16.5" thickBot="1" x14ac:dyDescent="0.35">
      <c r="B17" s="128" t="s">
        <v>355</v>
      </c>
      <c r="C17" s="129">
        <f>Sheet7!$F$11</f>
        <v>0</v>
      </c>
      <c r="D17" s="123" t="s">
        <v>106</v>
      </c>
      <c r="E17" s="117"/>
      <c r="F17" s="128" t="s">
        <v>355</v>
      </c>
      <c r="G17" s="129">
        <f>Sheet8!$F$15</f>
        <v>0</v>
      </c>
      <c r="H17" s="123" t="s">
        <v>106</v>
      </c>
      <c r="I17" s="117"/>
      <c r="J17" s="128" t="s">
        <v>355</v>
      </c>
      <c r="K17" s="129">
        <f>Sheet9!$F$15</f>
        <v>0</v>
      </c>
      <c r="L17" s="123" t="s">
        <v>106</v>
      </c>
      <c r="M17" s="117"/>
      <c r="N17" s="128" t="s">
        <v>355</v>
      </c>
      <c r="O17" s="122" t="s">
        <v>80</v>
      </c>
      <c r="P17" s="123" t="s">
        <v>106</v>
      </c>
      <c r="Q17" s="117"/>
      <c r="R17" s="128" t="s">
        <v>355</v>
      </c>
      <c r="S17" s="122" t="s">
        <v>80</v>
      </c>
      <c r="T17" s="123" t="s">
        <v>106</v>
      </c>
      <c r="U17" s="117"/>
      <c r="V17" s="128" t="s">
        <v>355</v>
      </c>
      <c r="W17" s="122" t="s">
        <v>80</v>
      </c>
      <c r="X17" s="123" t="s">
        <v>106</v>
      </c>
    </row>
    <row r="18" spans="2:24" ht="16.5" thickBot="1" x14ac:dyDescent="0.35">
      <c r="B18" s="128" t="s">
        <v>356</v>
      </c>
      <c r="C18" s="129">
        <f>Sheet7!$F$12</f>
        <v>0</v>
      </c>
      <c r="D18" s="123" t="s">
        <v>106</v>
      </c>
      <c r="E18" s="117"/>
      <c r="F18" s="128" t="s">
        <v>356</v>
      </c>
      <c r="G18" s="129">
        <f>Sheet8!$F$16</f>
        <v>0</v>
      </c>
      <c r="H18" s="123" t="s">
        <v>106</v>
      </c>
      <c r="I18" s="117"/>
      <c r="J18" s="128" t="s">
        <v>356</v>
      </c>
      <c r="K18" s="122" t="s">
        <v>80</v>
      </c>
      <c r="L18" s="123" t="s">
        <v>106</v>
      </c>
      <c r="M18" s="117"/>
      <c r="N18" s="128" t="s">
        <v>356</v>
      </c>
      <c r="O18" s="122" t="s">
        <v>80</v>
      </c>
      <c r="P18" s="123" t="s">
        <v>106</v>
      </c>
      <c r="Q18" s="117"/>
      <c r="R18" s="128" t="s">
        <v>356</v>
      </c>
      <c r="S18" s="122" t="s">
        <v>80</v>
      </c>
      <c r="T18" s="123" t="s">
        <v>106</v>
      </c>
      <c r="U18" s="117"/>
      <c r="V18" s="128" t="s">
        <v>356</v>
      </c>
      <c r="W18" s="122" t="s">
        <v>80</v>
      </c>
      <c r="X18" s="123" t="s">
        <v>106</v>
      </c>
    </row>
    <row r="19" spans="2:24" ht="16.5" thickBot="1" x14ac:dyDescent="0.35">
      <c r="B19" s="128" t="s">
        <v>357</v>
      </c>
      <c r="C19" s="122" t="s">
        <v>80</v>
      </c>
      <c r="D19" s="123" t="s">
        <v>106</v>
      </c>
      <c r="E19" s="117"/>
      <c r="F19" s="128" t="s">
        <v>357</v>
      </c>
      <c r="G19" s="122" t="s">
        <v>80</v>
      </c>
      <c r="H19" s="123" t="s">
        <v>106</v>
      </c>
      <c r="I19" s="117"/>
      <c r="J19" s="128" t="s">
        <v>357</v>
      </c>
      <c r="K19" s="122" t="s">
        <v>80</v>
      </c>
      <c r="L19" s="123" t="s">
        <v>106</v>
      </c>
      <c r="M19" s="117"/>
      <c r="N19" s="128" t="s">
        <v>357</v>
      </c>
      <c r="O19" s="129">
        <f>Sheet10!$F$11</f>
        <v>0</v>
      </c>
      <c r="P19" s="123" t="s">
        <v>106</v>
      </c>
      <c r="Q19" s="117"/>
      <c r="R19" s="128" t="s">
        <v>357</v>
      </c>
      <c r="S19" s="129">
        <f>Sheet11!$F$11</f>
        <v>0</v>
      </c>
      <c r="T19" s="123" t="s">
        <v>106</v>
      </c>
      <c r="U19" s="117"/>
      <c r="V19" s="128" t="s">
        <v>357</v>
      </c>
      <c r="W19" s="129">
        <f>Sheet12!$F$12</f>
        <v>0</v>
      </c>
      <c r="X19" s="123" t="s">
        <v>106</v>
      </c>
    </row>
    <row r="20" spans="2:24" ht="16.5" thickBot="1" x14ac:dyDescent="0.35">
      <c r="B20" s="128" t="s">
        <v>358</v>
      </c>
      <c r="C20" s="122" t="s">
        <v>80</v>
      </c>
      <c r="D20" s="123" t="s">
        <v>106</v>
      </c>
      <c r="E20" s="117"/>
      <c r="F20" s="128" t="s">
        <v>358</v>
      </c>
      <c r="G20" s="122" t="s">
        <v>80</v>
      </c>
      <c r="H20" s="123" t="s">
        <v>106</v>
      </c>
      <c r="I20" s="117"/>
      <c r="J20" s="128" t="s">
        <v>358</v>
      </c>
      <c r="K20" s="122" t="s">
        <v>80</v>
      </c>
      <c r="L20" s="123" t="s">
        <v>106</v>
      </c>
      <c r="M20" s="117"/>
      <c r="N20" s="128" t="s">
        <v>358</v>
      </c>
      <c r="O20" s="129">
        <f>Sheet10!$F$12</f>
        <v>0</v>
      </c>
      <c r="P20" s="123" t="s">
        <v>106</v>
      </c>
      <c r="Q20" s="117"/>
      <c r="R20" s="128" t="s">
        <v>358</v>
      </c>
      <c r="S20" s="122" t="s">
        <v>80</v>
      </c>
      <c r="T20" s="123" t="s">
        <v>106</v>
      </c>
      <c r="U20" s="117"/>
      <c r="V20" s="128" t="s">
        <v>358</v>
      </c>
      <c r="W20" s="122" t="s">
        <v>80</v>
      </c>
      <c r="X20" s="123" t="s">
        <v>106</v>
      </c>
    </row>
    <row r="21" spans="2:24" ht="16.5" thickBot="1" x14ac:dyDescent="0.35">
      <c r="B21" s="128" t="s">
        <v>359</v>
      </c>
      <c r="C21" s="122" t="s">
        <v>80</v>
      </c>
      <c r="D21" s="123" t="s">
        <v>106</v>
      </c>
      <c r="E21" s="117"/>
      <c r="F21" s="128" t="s">
        <v>359</v>
      </c>
      <c r="G21" s="122" t="s">
        <v>80</v>
      </c>
      <c r="H21" s="123" t="s">
        <v>106</v>
      </c>
      <c r="I21" s="117"/>
      <c r="J21" s="128" t="s">
        <v>359</v>
      </c>
      <c r="K21" s="129">
        <f>Sheet9!$F$16</f>
        <v>0</v>
      </c>
      <c r="L21" s="123" t="s">
        <v>106</v>
      </c>
      <c r="M21" s="117"/>
      <c r="N21" s="128" t="s">
        <v>359</v>
      </c>
      <c r="O21" s="129">
        <f>Sheet10!$F$13</f>
        <v>0</v>
      </c>
      <c r="P21" s="123" t="s">
        <v>106</v>
      </c>
      <c r="Q21" s="117"/>
      <c r="R21" s="128" t="s">
        <v>359</v>
      </c>
      <c r="S21" s="122" t="s">
        <v>80</v>
      </c>
      <c r="T21" s="123" t="s">
        <v>106</v>
      </c>
      <c r="U21" s="117"/>
      <c r="V21" s="128" t="s">
        <v>359</v>
      </c>
      <c r="W21" s="122" t="s">
        <v>80</v>
      </c>
      <c r="X21" s="123" t="s">
        <v>106</v>
      </c>
    </row>
    <row r="22" spans="2:24" x14ac:dyDescent="0.2">
      <c r="B22" s="130"/>
      <c r="C22" s="126"/>
      <c r="D22" s="123"/>
      <c r="E22" s="117"/>
      <c r="F22" s="130"/>
      <c r="G22" s="126"/>
      <c r="H22" s="123"/>
      <c r="I22" s="117"/>
      <c r="J22" s="130"/>
      <c r="K22" s="126"/>
      <c r="L22" s="123"/>
      <c r="M22" s="117"/>
      <c r="N22" s="130"/>
      <c r="O22" s="126"/>
      <c r="P22" s="123"/>
      <c r="Q22" s="117"/>
      <c r="R22" s="130"/>
      <c r="S22" s="126"/>
      <c r="T22" s="123"/>
      <c r="U22" s="117"/>
      <c r="V22" s="130"/>
      <c r="W22" s="126"/>
      <c r="X22" s="123"/>
    </row>
    <row r="23" spans="2:24" ht="13.5" thickBot="1" x14ac:dyDescent="0.25">
      <c r="B23" s="125" t="s">
        <v>73</v>
      </c>
      <c r="C23" s="131"/>
      <c r="D23" s="123"/>
      <c r="E23" s="117"/>
      <c r="F23" s="125" t="s">
        <v>73</v>
      </c>
      <c r="G23" s="131"/>
      <c r="H23" s="123"/>
      <c r="I23" s="117"/>
      <c r="J23" s="125" t="s">
        <v>73</v>
      </c>
      <c r="K23" s="131"/>
      <c r="L23" s="123"/>
      <c r="M23" s="117"/>
      <c r="N23" s="125" t="s">
        <v>73</v>
      </c>
      <c r="O23" s="131"/>
      <c r="P23" s="123"/>
      <c r="Q23" s="117"/>
      <c r="R23" s="125" t="s">
        <v>73</v>
      </c>
      <c r="S23" s="131"/>
      <c r="T23" s="123"/>
      <c r="U23" s="117"/>
      <c r="V23" s="125" t="s">
        <v>73</v>
      </c>
      <c r="W23" s="131"/>
      <c r="X23" s="123"/>
    </row>
    <row r="24" spans="2:24" ht="16.5" thickBot="1" x14ac:dyDescent="0.35">
      <c r="B24" s="127" t="s">
        <v>360</v>
      </c>
      <c r="C24" s="129">
        <f>Sheet7!$F$14</f>
        <v>0</v>
      </c>
      <c r="D24" s="123" t="s">
        <v>107</v>
      </c>
      <c r="E24" s="117"/>
      <c r="F24" s="127" t="s">
        <v>360</v>
      </c>
      <c r="G24" s="129">
        <f>Sheet8!$F$18</f>
        <v>0</v>
      </c>
      <c r="H24" s="123" t="s">
        <v>107</v>
      </c>
      <c r="I24" s="117"/>
      <c r="J24" s="127" t="s">
        <v>360</v>
      </c>
      <c r="K24" s="129">
        <f>Sheet9!$F$18</f>
        <v>0</v>
      </c>
      <c r="L24" s="123" t="s">
        <v>107</v>
      </c>
      <c r="M24" s="117"/>
      <c r="N24" s="127" t="s">
        <v>360</v>
      </c>
      <c r="O24" s="129">
        <f>Sheet10!F14</f>
        <v>0</v>
      </c>
      <c r="P24" s="123" t="s">
        <v>107</v>
      </c>
      <c r="Q24" s="117"/>
      <c r="R24" s="127" t="s">
        <v>360</v>
      </c>
      <c r="S24" s="129" t="s">
        <v>80</v>
      </c>
      <c r="T24" s="123" t="s">
        <v>107</v>
      </c>
      <c r="U24" s="117"/>
      <c r="V24" s="127" t="s">
        <v>360</v>
      </c>
      <c r="W24" s="129" t="s">
        <v>80</v>
      </c>
      <c r="X24" s="123" t="s">
        <v>107</v>
      </c>
    </row>
    <row r="25" spans="2:24" ht="16.5" thickBot="1" x14ac:dyDescent="0.35">
      <c r="B25" s="127" t="s">
        <v>361</v>
      </c>
      <c r="C25" s="129" t="s">
        <v>80</v>
      </c>
      <c r="D25" s="123" t="s">
        <v>107</v>
      </c>
      <c r="E25" s="117"/>
      <c r="F25" s="127" t="s">
        <v>361</v>
      </c>
      <c r="G25" s="129" t="s">
        <v>80</v>
      </c>
      <c r="H25" s="123" t="s">
        <v>107</v>
      </c>
      <c r="I25" s="117"/>
      <c r="J25" s="127" t="s">
        <v>361</v>
      </c>
      <c r="K25" s="129" t="s">
        <v>80</v>
      </c>
      <c r="L25" s="123" t="s">
        <v>107</v>
      </c>
      <c r="M25" s="117"/>
      <c r="N25" s="127" t="s">
        <v>361</v>
      </c>
      <c r="O25" s="132">
        <f>Sheet10!F15</f>
        <v>0</v>
      </c>
      <c r="P25" s="123" t="s">
        <v>107</v>
      </c>
      <c r="Q25" s="117"/>
      <c r="R25" s="127" t="s">
        <v>361</v>
      </c>
      <c r="S25" s="129" t="s">
        <v>80</v>
      </c>
      <c r="T25" s="123" t="s">
        <v>107</v>
      </c>
      <c r="U25" s="117"/>
      <c r="V25" s="127" t="s">
        <v>361</v>
      </c>
      <c r="W25" s="129" t="s">
        <v>80</v>
      </c>
      <c r="X25" s="123" t="s">
        <v>107</v>
      </c>
    </row>
    <row r="26" spans="2:24" ht="16.5" thickBot="1" x14ac:dyDescent="0.35">
      <c r="B26" s="127" t="s">
        <v>362</v>
      </c>
      <c r="C26" s="132">
        <f>Sheet7!F15</f>
        <v>0</v>
      </c>
      <c r="D26" s="123" t="s">
        <v>107</v>
      </c>
      <c r="E26" s="117"/>
      <c r="F26" s="127" t="s">
        <v>362</v>
      </c>
      <c r="G26" s="132">
        <f>Sheet8!F19</f>
        <v>0</v>
      </c>
      <c r="H26" s="123" t="s">
        <v>107</v>
      </c>
      <c r="I26" s="117"/>
      <c r="J26" s="127" t="s">
        <v>362</v>
      </c>
      <c r="K26" s="132">
        <f>Sheet9!F19</f>
        <v>0</v>
      </c>
      <c r="L26" s="123" t="s">
        <v>107</v>
      </c>
      <c r="M26" s="117"/>
      <c r="N26" s="127" t="s">
        <v>362</v>
      </c>
      <c r="O26" s="129">
        <f>Sheet10!F16</f>
        <v>0</v>
      </c>
      <c r="P26" s="123" t="s">
        <v>107</v>
      </c>
      <c r="Q26" s="117"/>
      <c r="R26" s="127" t="s">
        <v>362</v>
      </c>
      <c r="S26" s="129" t="s">
        <v>80</v>
      </c>
      <c r="T26" s="123" t="s">
        <v>107</v>
      </c>
      <c r="U26" s="117"/>
      <c r="V26" s="127" t="s">
        <v>362</v>
      </c>
      <c r="W26" s="129" t="s">
        <v>80</v>
      </c>
      <c r="X26" s="123" t="s">
        <v>107</v>
      </c>
    </row>
    <row r="27" spans="2:24" ht="16.5" thickBot="1" x14ac:dyDescent="0.35">
      <c r="B27" s="127" t="s">
        <v>363</v>
      </c>
      <c r="C27" s="132" t="s">
        <v>80</v>
      </c>
      <c r="D27" s="123" t="s">
        <v>107</v>
      </c>
      <c r="E27" s="117"/>
      <c r="F27" s="127" t="s">
        <v>363</v>
      </c>
      <c r="G27" s="132" t="s">
        <v>80</v>
      </c>
      <c r="H27" s="123" t="s">
        <v>107</v>
      </c>
      <c r="I27" s="117"/>
      <c r="J27" s="127" t="s">
        <v>363</v>
      </c>
      <c r="K27" s="132" t="s">
        <v>80</v>
      </c>
      <c r="L27" s="123" t="s">
        <v>107</v>
      </c>
      <c r="M27" s="117"/>
      <c r="N27" s="127" t="s">
        <v>363</v>
      </c>
      <c r="O27" s="132" t="s">
        <v>80</v>
      </c>
      <c r="P27" s="123" t="s">
        <v>107</v>
      </c>
      <c r="Q27" s="117"/>
      <c r="R27" s="127" t="s">
        <v>363</v>
      </c>
      <c r="S27" s="129">
        <f>Sheet11!F16</f>
        <v>0</v>
      </c>
      <c r="T27" s="123" t="s">
        <v>107</v>
      </c>
      <c r="U27" s="117"/>
      <c r="V27" s="127" t="s">
        <v>363</v>
      </c>
      <c r="W27" s="129">
        <f>Sheet12!F16</f>
        <v>0</v>
      </c>
      <c r="X27" s="123" t="s">
        <v>107</v>
      </c>
    </row>
    <row r="28" spans="2:24" ht="13.5" thickBot="1" x14ac:dyDescent="0.25">
      <c r="B28" s="133"/>
      <c r="C28" s="134"/>
      <c r="D28" s="135"/>
      <c r="E28" s="117"/>
      <c r="F28" s="133"/>
      <c r="G28" s="134"/>
      <c r="H28" s="135"/>
      <c r="I28" s="117"/>
      <c r="J28" s="133"/>
      <c r="K28" s="134"/>
      <c r="L28" s="135"/>
      <c r="M28" s="117"/>
      <c r="N28" s="133"/>
      <c r="O28" s="134"/>
      <c r="P28" s="135"/>
      <c r="Q28" s="117"/>
      <c r="R28" s="133"/>
      <c r="S28" s="134"/>
      <c r="T28" s="135"/>
      <c r="U28" s="117"/>
      <c r="V28" s="133"/>
      <c r="W28" s="134"/>
      <c r="X28" s="135"/>
    </row>
  </sheetData>
  <sheetProtection algorithmName="SHA-512" hashValue="vrBrGcC1RJC2RlaIh55BOoOaPkAXdOWwwLfntJZgEdTm4xSWwmRZmdA/yri8wbn5eta0IJEwy0UEAC86HOnLog==" saltValue="CS4z19NXkLduFx9wUM32nQ==" spinCount="100000" sheet="1" selectLockedCells="1"/>
  <phoneticPr fontId="0" type="noConversion"/>
  <pageMargins left="0.75" right="0.75" top="1" bottom="1" header="0" footer="0"/>
  <pageSetup paperSize="9" scale="39" orientation="landscape" r:id="rId1"/>
  <headerFooter alignWithMargins="0">
    <oddFooter>&amp;CFerroperm Piezoceramics A/S
Hejreskovvej 18A    DK-3490 Kvistgaard    Denmark    Tel: +45 - 4912 7100    Fax: +45 - 4913 8188
Internet:  www.ferroperm-piezo.com   E-mail: pz@ferroperm-piezo.com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2"/>
  <dimension ref="A1:Q48"/>
  <sheetViews>
    <sheetView workbookViewId="0">
      <selection activeCell="M1" sqref="M1"/>
    </sheetView>
  </sheetViews>
  <sheetFormatPr defaultColWidth="9.140625" defaultRowHeight="12.75" x14ac:dyDescent="0.2"/>
  <cols>
    <col min="1" max="2" width="9.140625" style="16"/>
    <col min="3" max="3" width="10.28515625" style="16" customWidth="1"/>
    <col min="4" max="9" width="9.140625" style="16"/>
    <col min="10" max="10" width="12.5703125" style="16" customWidth="1"/>
    <col min="11" max="14" width="9.140625" style="16"/>
    <col min="15" max="15" width="10.7109375" style="16" customWidth="1"/>
    <col min="16" max="16384" width="9.140625" style="16"/>
  </cols>
  <sheetData>
    <row r="1" spans="1:17" x14ac:dyDescent="0.2">
      <c r="A1" s="16" t="s">
        <v>24</v>
      </c>
      <c r="C1" s="16" t="s">
        <v>26</v>
      </c>
      <c r="E1" s="16" t="s">
        <v>62</v>
      </c>
      <c r="J1" s="16" t="s">
        <v>195</v>
      </c>
      <c r="O1" s="16" t="s">
        <v>66</v>
      </c>
    </row>
    <row r="2" spans="1:17" x14ac:dyDescent="0.2">
      <c r="E2" s="16" t="s">
        <v>63</v>
      </c>
      <c r="O2" s="16" t="s">
        <v>64</v>
      </c>
      <c r="P2" s="16">
        <f>'Front page'!D26</f>
        <v>0</v>
      </c>
      <c r="Q2" s="16" t="s">
        <v>69</v>
      </c>
    </row>
    <row r="3" spans="1:17" x14ac:dyDescent="0.2">
      <c r="A3" s="16" t="s">
        <v>313</v>
      </c>
      <c r="C3" s="16" t="s">
        <v>27</v>
      </c>
      <c r="D3" s="16">
        <v>1</v>
      </c>
      <c r="J3" s="16" t="s">
        <v>200</v>
      </c>
      <c r="K3" s="16">
        <f>Sheet6!B4</f>
        <v>4</v>
      </c>
    </row>
    <row r="4" spans="1:17" x14ac:dyDescent="0.2">
      <c r="A4" s="16" t="s">
        <v>314</v>
      </c>
      <c r="C4" s="16" t="s">
        <v>28</v>
      </c>
      <c r="D4" s="16">
        <v>2</v>
      </c>
      <c r="E4" s="16" t="s">
        <v>64</v>
      </c>
      <c r="F4" s="16">
        <f>IF('Front page'!D26&lt;&gt;0,1,0)</f>
        <v>0</v>
      </c>
      <c r="J4" s="16" t="s">
        <v>71</v>
      </c>
      <c r="K4" s="16">
        <f>IF(K3=1,1,0)</f>
        <v>0</v>
      </c>
      <c r="O4" s="16" t="s">
        <v>67</v>
      </c>
      <c r="P4" s="16" t="s">
        <v>68</v>
      </c>
    </row>
    <row r="5" spans="1:17" x14ac:dyDescent="0.2">
      <c r="A5" s="16" t="s">
        <v>315</v>
      </c>
      <c r="C5" s="16" t="s">
        <v>30</v>
      </c>
      <c r="D5" s="16">
        <v>3</v>
      </c>
      <c r="E5" s="16" t="s">
        <v>65</v>
      </c>
      <c r="F5" s="16">
        <f>IF(SUM('Front page'!D33:D35)&lt;&gt;0,1,0)</f>
        <v>0</v>
      </c>
      <c r="J5" s="16" t="s">
        <v>190</v>
      </c>
      <c r="K5" s="16">
        <f>IF('Front page'!D13=0,0,1)</f>
        <v>1</v>
      </c>
      <c r="O5" s="16">
        <v>1</v>
      </c>
      <c r="P5" s="16">
        <f>P2/'Front page'!D12</f>
        <v>0</v>
      </c>
      <c r="Q5" s="16" t="s">
        <v>70</v>
      </c>
    </row>
    <row r="6" spans="1:17" x14ac:dyDescent="0.2">
      <c r="A6" s="16" t="s">
        <v>316</v>
      </c>
      <c r="C6" s="16" t="s">
        <v>29</v>
      </c>
      <c r="D6" s="16">
        <v>4</v>
      </c>
      <c r="J6" s="16" t="s">
        <v>201</v>
      </c>
      <c r="K6" s="16">
        <f>IF(OR(K3=2,K3=3,K3=6),1,0)</f>
        <v>0</v>
      </c>
      <c r="O6" s="16">
        <v>2</v>
      </c>
      <c r="P6" s="16">
        <f>P2/'Front page'!D12</f>
        <v>0</v>
      </c>
      <c r="Q6" s="16" t="s">
        <v>70</v>
      </c>
    </row>
    <row r="7" spans="1:17" x14ac:dyDescent="0.2">
      <c r="A7" s="16" t="s">
        <v>317</v>
      </c>
      <c r="C7" s="16" t="s">
        <v>32</v>
      </c>
      <c r="D7" s="16">
        <v>5</v>
      </c>
      <c r="E7" s="16" t="s">
        <v>72</v>
      </c>
      <c r="F7" s="16">
        <f>SUM(F4:F5)</f>
        <v>0</v>
      </c>
      <c r="J7" s="16" t="s">
        <v>202</v>
      </c>
      <c r="K7" s="16">
        <f>IF(OR(K3=4,K3=5),1,0)</f>
        <v>1</v>
      </c>
      <c r="O7" s="16">
        <v>3</v>
      </c>
      <c r="P7" s="16">
        <f>2*P2/('Front page'!D12-'Front page'!D13)</f>
        <v>0</v>
      </c>
      <c r="Q7" s="16" t="s">
        <v>70</v>
      </c>
    </row>
    <row r="8" spans="1:17" x14ac:dyDescent="0.2">
      <c r="A8" s="16" t="s">
        <v>318</v>
      </c>
      <c r="C8" s="18" t="s">
        <v>31</v>
      </c>
      <c r="D8" s="18">
        <v>6</v>
      </c>
      <c r="E8" s="18" t="str">
        <f>IF(Sheet5!F7=2,"NOT POSSIBLE TO CALCULATE ","")</f>
        <v/>
      </c>
      <c r="F8" s="18"/>
      <c r="G8" s="18"/>
      <c r="H8" s="18"/>
      <c r="I8" s="18"/>
      <c r="J8" s="18" t="s">
        <v>185</v>
      </c>
      <c r="K8" s="18">
        <f>IF('Front page'!D13&gt;='Front page'!D12,1,0)</f>
        <v>0</v>
      </c>
      <c r="L8" s="18"/>
      <c r="M8" s="18"/>
      <c r="N8" s="18"/>
      <c r="O8" s="16">
        <v>4</v>
      </c>
      <c r="P8" s="16">
        <f>P2/'Front page'!D12</f>
        <v>0</v>
      </c>
      <c r="Q8" s="16" t="s">
        <v>70</v>
      </c>
    </row>
    <row r="9" spans="1:17" x14ac:dyDescent="0.2">
      <c r="A9" s="16" t="s">
        <v>319</v>
      </c>
      <c r="C9" s="18"/>
      <c r="D9" s="18"/>
      <c r="E9" s="18" t="str">
        <f>IF(Sheet5!F7=2,"PLEASE SELECT 1 PARAMETER ONLY ","")</f>
        <v/>
      </c>
      <c r="F9" s="18"/>
      <c r="G9" s="18"/>
      <c r="H9" s="18"/>
      <c r="I9" s="18"/>
      <c r="J9" s="18" t="s">
        <v>192</v>
      </c>
      <c r="K9" s="18">
        <f>IF('Front page'!D13&lt;=0,1,0)</f>
        <v>0</v>
      </c>
      <c r="L9" s="18"/>
      <c r="M9" s="18"/>
      <c r="N9" s="18"/>
      <c r="O9" s="16">
        <v>5</v>
      </c>
      <c r="P9" s="16">
        <f>P2/'Front page'!D12</f>
        <v>0</v>
      </c>
      <c r="Q9" s="16" t="s">
        <v>70</v>
      </c>
    </row>
    <row r="10" spans="1:17" x14ac:dyDescent="0.2">
      <c r="A10" s="16" t="s">
        <v>320</v>
      </c>
      <c r="C10" s="18"/>
      <c r="D10" s="18"/>
      <c r="E10" s="18"/>
      <c r="F10" s="18"/>
      <c r="G10" s="18"/>
      <c r="H10" s="18"/>
      <c r="I10" s="18"/>
      <c r="J10" s="18" t="s">
        <v>191</v>
      </c>
      <c r="K10" s="18">
        <f>SUM(K4:K5)</f>
        <v>1</v>
      </c>
      <c r="L10" s="18"/>
      <c r="M10" s="18"/>
      <c r="N10" s="18"/>
      <c r="O10" s="16">
        <v>6</v>
      </c>
      <c r="P10" s="16">
        <f>2*P2/('Front page'!D12-'Front page'!D13)</f>
        <v>0</v>
      </c>
      <c r="Q10" s="16" t="s">
        <v>70</v>
      </c>
    </row>
    <row r="11" spans="1:17" x14ac:dyDescent="0.2">
      <c r="A11" s="16" t="s">
        <v>321</v>
      </c>
      <c r="C11" s="18" t="s">
        <v>186</v>
      </c>
      <c r="D11" s="18">
        <v>2</v>
      </c>
      <c r="E11" s="18"/>
      <c r="F11" s="18"/>
      <c r="G11" s="18"/>
      <c r="H11" s="18"/>
      <c r="I11" s="18"/>
      <c r="J11" s="18" t="s">
        <v>193</v>
      </c>
      <c r="K11" s="18">
        <f>K6*SUM(K8:K9)</f>
        <v>0</v>
      </c>
      <c r="L11" s="18"/>
      <c r="M11" s="18"/>
      <c r="N11" s="18"/>
    </row>
    <row r="12" spans="1:17" x14ac:dyDescent="0.2">
      <c r="A12" s="16" t="s">
        <v>322</v>
      </c>
      <c r="C12" s="18"/>
      <c r="D12" s="18">
        <v>3</v>
      </c>
      <c r="E12" s="18"/>
      <c r="F12" s="18"/>
      <c r="G12" s="18"/>
      <c r="H12" s="18"/>
      <c r="I12" s="18"/>
      <c r="J12" s="18"/>
      <c r="K12" s="18"/>
      <c r="L12" s="18"/>
      <c r="M12" s="18"/>
      <c r="N12" s="18" t="s">
        <v>203</v>
      </c>
    </row>
    <row r="13" spans="1:17" x14ac:dyDescent="0.2">
      <c r="A13" s="16" t="s">
        <v>323</v>
      </c>
      <c r="C13" s="18"/>
      <c r="D13" s="18">
        <v>6</v>
      </c>
      <c r="E13" s="18"/>
      <c r="F13" s="18"/>
      <c r="G13" s="18"/>
      <c r="H13" s="18"/>
      <c r="I13" s="18"/>
      <c r="J13" s="18" t="s">
        <v>197</v>
      </c>
      <c r="K13" s="19" t="str">
        <f>IF('Front page'!D12&lt;=0,K19,"")</f>
        <v/>
      </c>
      <c r="L13" s="19"/>
      <c r="M13" s="19"/>
      <c r="N13" s="18">
        <f>IF('Front page'!D12&gt;0,1,0)</f>
        <v>1</v>
      </c>
    </row>
    <row r="14" spans="1:17" x14ac:dyDescent="0.2">
      <c r="A14" s="16" t="s">
        <v>332</v>
      </c>
      <c r="C14" s="18"/>
      <c r="D14" s="18"/>
      <c r="E14" s="18"/>
      <c r="F14" s="18"/>
      <c r="G14" s="18"/>
      <c r="H14" s="18"/>
      <c r="I14" s="18"/>
      <c r="J14" s="18" t="s">
        <v>194</v>
      </c>
      <c r="K14" s="19" t="str">
        <f>IF(K10=2,K17,IF(K11&gt;0,K18,IF(K7*K9=1,K19,"")))</f>
        <v/>
      </c>
      <c r="L14" s="19"/>
      <c r="M14" s="19"/>
      <c r="N14" s="18">
        <f>IF(AND(K11=0,K7*K9=0),1,0)</f>
        <v>1</v>
      </c>
    </row>
    <row r="15" spans="1:17" x14ac:dyDescent="0.2">
      <c r="A15" s="16" t="s">
        <v>333</v>
      </c>
      <c r="C15" s="18"/>
      <c r="D15" s="18"/>
      <c r="E15" s="18"/>
      <c r="F15" s="18"/>
      <c r="G15" s="18"/>
      <c r="H15" s="18"/>
      <c r="I15" s="18"/>
      <c r="J15" s="18" t="s">
        <v>198</v>
      </c>
      <c r="K15" s="19" t="str">
        <f>IF('Front page'!D14&lt;=0,K19,"")</f>
        <v/>
      </c>
      <c r="L15" s="19"/>
      <c r="M15" s="19"/>
      <c r="N15" s="18">
        <f>IF('Front page'!D14&gt;0,1,0)</f>
        <v>1</v>
      </c>
    </row>
    <row r="16" spans="1:17" x14ac:dyDescent="0.2">
      <c r="A16" s="16" t="s">
        <v>334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1:14" x14ac:dyDescent="0.2">
      <c r="A17" s="16" t="s">
        <v>335</v>
      </c>
      <c r="C17" s="18"/>
      <c r="D17" s="18"/>
      <c r="E17" s="18"/>
      <c r="F17" s="18"/>
      <c r="G17" s="18"/>
      <c r="H17" s="18"/>
      <c r="I17" s="18"/>
      <c r="J17" s="18"/>
      <c r="K17" s="18" t="s">
        <v>184</v>
      </c>
      <c r="L17" s="18"/>
      <c r="M17" s="18"/>
      <c r="N17" s="18" t="s">
        <v>188</v>
      </c>
    </row>
    <row r="18" spans="1:14" x14ac:dyDescent="0.2">
      <c r="A18" s="16" t="s">
        <v>336</v>
      </c>
      <c r="C18" s="18"/>
      <c r="D18" s="18"/>
      <c r="E18" s="18"/>
      <c r="F18" s="18"/>
      <c r="G18" s="18"/>
      <c r="H18" s="18"/>
      <c r="I18" s="18"/>
      <c r="J18" s="18"/>
      <c r="K18" s="18" t="s">
        <v>187</v>
      </c>
      <c r="L18" s="18"/>
      <c r="M18" s="18"/>
      <c r="N18" s="18" t="s">
        <v>189</v>
      </c>
    </row>
    <row r="19" spans="1:14" x14ac:dyDescent="0.2">
      <c r="A19" s="16" t="s">
        <v>351</v>
      </c>
      <c r="C19" s="18"/>
      <c r="D19" s="18"/>
      <c r="E19" s="18"/>
      <c r="F19" s="18"/>
      <c r="G19" s="18"/>
      <c r="H19" s="18"/>
      <c r="I19" s="18"/>
      <c r="J19" s="18"/>
      <c r="K19" s="18" t="s">
        <v>196</v>
      </c>
      <c r="L19" s="18"/>
      <c r="M19" s="18"/>
      <c r="N19" s="18" t="s">
        <v>199</v>
      </c>
    </row>
    <row r="20" spans="1:14" x14ac:dyDescent="0.2">
      <c r="A20" s="16" t="s">
        <v>352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</row>
    <row r="21" spans="1:14" x14ac:dyDescent="0.2">
      <c r="A21" s="16" t="s">
        <v>353</v>
      </c>
    </row>
    <row r="22" spans="1:14" x14ac:dyDescent="0.2">
      <c r="A22" s="16" t="s">
        <v>350</v>
      </c>
    </row>
    <row r="23" spans="1:14" x14ac:dyDescent="0.2">
      <c r="A23" s="16" t="s">
        <v>337</v>
      </c>
    </row>
    <row r="24" spans="1:14" x14ac:dyDescent="0.2">
      <c r="A24" s="16" t="s">
        <v>338</v>
      </c>
    </row>
    <row r="25" spans="1:14" x14ac:dyDescent="0.2">
      <c r="A25" s="16" t="s">
        <v>324</v>
      </c>
    </row>
    <row r="26" spans="1:14" x14ac:dyDescent="0.2">
      <c r="A26" s="16" t="s">
        <v>325</v>
      </c>
    </row>
    <row r="27" spans="1:14" x14ac:dyDescent="0.2">
      <c r="A27" s="16" t="s">
        <v>326</v>
      </c>
    </row>
    <row r="28" spans="1:14" x14ac:dyDescent="0.2">
      <c r="A28" s="16" t="s">
        <v>339</v>
      </c>
    </row>
    <row r="29" spans="1:14" x14ac:dyDescent="0.2">
      <c r="A29" s="16" t="s">
        <v>348</v>
      </c>
    </row>
    <row r="30" spans="1:14" x14ac:dyDescent="0.2">
      <c r="A30" s="16" t="s">
        <v>349</v>
      </c>
    </row>
    <row r="31" spans="1:14" x14ac:dyDescent="0.2">
      <c r="A31" s="16" t="s">
        <v>327</v>
      </c>
    </row>
    <row r="32" spans="1:14" x14ac:dyDescent="0.2">
      <c r="A32" s="16" t="s">
        <v>328</v>
      </c>
    </row>
    <row r="33" spans="1:1" x14ac:dyDescent="0.2">
      <c r="A33" s="16" t="s">
        <v>340</v>
      </c>
    </row>
    <row r="34" spans="1:1" x14ac:dyDescent="0.2">
      <c r="A34" s="16" t="s">
        <v>341</v>
      </c>
    </row>
    <row r="35" spans="1:1" x14ac:dyDescent="0.2">
      <c r="A35" s="16" t="s">
        <v>329</v>
      </c>
    </row>
    <row r="36" spans="1:1" x14ac:dyDescent="0.2">
      <c r="A36" s="16" t="s">
        <v>330</v>
      </c>
    </row>
    <row r="37" spans="1:1" x14ac:dyDescent="0.2">
      <c r="A37" s="16" t="s">
        <v>312</v>
      </c>
    </row>
    <row r="38" spans="1:1" x14ac:dyDescent="0.2">
      <c r="A38" s="16" t="s">
        <v>344</v>
      </c>
    </row>
    <row r="39" spans="1:1" x14ac:dyDescent="0.2">
      <c r="A39" s="16" t="s">
        <v>345</v>
      </c>
    </row>
    <row r="40" spans="1:1" x14ac:dyDescent="0.2">
      <c r="A40" s="16" t="s">
        <v>346</v>
      </c>
    </row>
    <row r="41" spans="1:1" x14ac:dyDescent="0.2">
      <c r="A41" s="16" t="s">
        <v>354</v>
      </c>
    </row>
    <row r="42" spans="1:1" x14ac:dyDescent="0.2">
      <c r="A42" s="16" t="s">
        <v>342</v>
      </c>
    </row>
    <row r="43" spans="1:1" x14ac:dyDescent="0.2">
      <c r="A43" s="16" t="s">
        <v>347</v>
      </c>
    </row>
    <row r="44" spans="1:1" x14ac:dyDescent="0.2">
      <c r="A44" s="16" t="s">
        <v>343</v>
      </c>
    </row>
    <row r="45" spans="1:1" x14ac:dyDescent="0.2">
      <c r="A45" s="16" t="s">
        <v>331</v>
      </c>
    </row>
    <row r="46" spans="1:1" x14ac:dyDescent="0.2">
      <c r="A46" s="16" t="s">
        <v>153</v>
      </c>
    </row>
    <row r="47" spans="1:1" x14ac:dyDescent="0.2">
      <c r="A47" s="16" t="s">
        <v>151</v>
      </c>
    </row>
    <row r="48" spans="1:1" x14ac:dyDescent="0.2">
      <c r="A48" s="16" t="s">
        <v>152</v>
      </c>
    </row>
  </sheetData>
  <sheetProtection algorithmName="SHA-512" hashValue="zXeqUpZJRPhZmr9drRXpJOGCwEt2OmrPSkfutah9yHDypzTLS0Il4w5/rwe73/55cYRXqCZBpuTRFZIrLpRTsA==" saltValue="+yG6WN04ldNKh5KIxC8Buw==" spinCount="100000" sheet="1" objects="1" scenarios="1" selectLockedCells="1" selectUnlockedCells="1"/>
  <phoneticPr fontId="0" type="noConversion"/>
  <pageMargins left="0.75" right="0.75" top="1" bottom="1" header="0" footer="0"/>
  <pageSetup paperSize="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3"/>
  <dimension ref="A1:O84"/>
  <sheetViews>
    <sheetView workbookViewId="0"/>
  </sheetViews>
  <sheetFormatPr defaultColWidth="9.140625" defaultRowHeight="12.75" x14ac:dyDescent="0.2"/>
  <cols>
    <col min="1" max="1" width="13.7109375" style="16" customWidth="1"/>
    <col min="2" max="2" width="9.140625" style="16"/>
    <col min="3" max="3" width="12.85546875" style="16" bestFit="1" customWidth="1"/>
    <col min="4" max="16384" width="9.140625" style="16"/>
  </cols>
  <sheetData>
    <row r="1" spans="1:15" x14ac:dyDescent="0.2">
      <c r="A1" s="136" t="s">
        <v>174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</row>
    <row r="2" spans="1:15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</row>
    <row r="3" spans="1:15" x14ac:dyDescent="0.2">
      <c r="A3" s="136" t="s">
        <v>25</v>
      </c>
      <c r="B3" s="136">
        <v>33</v>
      </c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</row>
    <row r="4" spans="1:15" x14ac:dyDescent="0.2">
      <c r="A4" s="136" t="s">
        <v>175</v>
      </c>
      <c r="B4" s="136">
        <v>4</v>
      </c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</row>
    <row r="5" spans="1:15" x14ac:dyDescent="0.2">
      <c r="A5" s="136"/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</row>
    <row r="6" spans="1:15" x14ac:dyDescent="0.2">
      <c r="A6" s="136" t="s">
        <v>119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</row>
    <row r="7" spans="1:15" x14ac:dyDescent="0.2">
      <c r="A7" s="136"/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</row>
    <row r="8" spans="1:15" x14ac:dyDescent="0.2">
      <c r="A8" s="137" t="s">
        <v>6</v>
      </c>
      <c r="B8" s="137" t="s">
        <v>7</v>
      </c>
      <c r="C8" s="136" t="s">
        <v>33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  <row r="9" spans="1:15" x14ac:dyDescent="0.2">
      <c r="A9" s="137"/>
      <c r="B9" s="137"/>
      <c r="C9" s="136"/>
      <c r="D9" s="136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</row>
    <row r="10" spans="1:15" x14ac:dyDescent="0.2">
      <c r="A10" s="137"/>
      <c r="B10" s="137"/>
      <c r="C10" s="137" t="str">
        <f>LOOKUP($B$3,Sheet13!$C$1:$AV$1,Sheet13!C2:AV2)</f>
        <v>Pz27</v>
      </c>
      <c r="D10" s="136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</row>
    <row r="11" spans="1:15" x14ac:dyDescent="0.2">
      <c r="A11" s="137"/>
      <c r="B11" s="137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</row>
    <row r="12" spans="1:15" ht="15.75" x14ac:dyDescent="0.3">
      <c r="A12" s="136" t="s">
        <v>205</v>
      </c>
      <c r="B12" s="137"/>
      <c r="C12" s="138">
        <f>LOOKUP($B$3,Sheet13!$C$1:$AV$1,Sheet13!C3:AV3)</f>
        <v>1795.99</v>
      </c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</row>
    <row r="13" spans="1:15" ht="15.75" x14ac:dyDescent="0.3">
      <c r="A13" s="136" t="s">
        <v>206</v>
      </c>
      <c r="B13" s="137"/>
      <c r="C13" s="138">
        <f>LOOKUP($B$3,Sheet13!$C$1:$AV$1,Sheet13!C4:AV4)</f>
        <v>1802.77</v>
      </c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</row>
    <row r="14" spans="1:15" ht="15.75" x14ac:dyDescent="0.3">
      <c r="A14" s="136" t="s">
        <v>207</v>
      </c>
      <c r="B14" s="137"/>
      <c r="C14" s="138">
        <f>LOOKUP($B$3,Sheet13!$C$1:$AV$1,Sheet13!C5:AV5)</f>
        <v>1129.69</v>
      </c>
      <c r="D14" s="136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</row>
    <row r="15" spans="1:15" ht="15.75" x14ac:dyDescent="0.3">
      <c r="A15" s="136" t="s">
        <v>208</v>
      </c>
      <c r="B15" s="137"/>
      <c r="C15" s="138">
        <f>LOOKUP($B$3,Sheet13!$C$1:$AV$1,Sheet13!C6:AV6)</f>
        <v>913.73</v>
      </c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</row>
    <row r="16" spans="1:15" ht="15.75" x14ac:dyDescent="0.3">
      <c r="A16" s="139" t="s">
        <v>209</v>
      </c>
      <c r="B16" s="137"/>
      <c r="C16" s="136">
        <f>LOOKUP($B$3,Sheet13!$C$1:$AV$1,Sheet13!C7:AV7)</f>
        <v>1.7000000000000001E-2</v>
      </c>
      <c r="D16" s="136"/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</row>
    <row r="17" spans="1:15" ht="15.75" x14ac:dyDescent="0.3">
      <c r="A17" s="140" t="s">
        <v>210</v>
      </c>
      <c r="B17" s="137" t="s">
        <v>17</v>
      </c>
      <c r="C17" s="136">
        <f>LOOKUP($B$3,Sheet13!$C$1:$AV$1,Sheet13!C8:AV8)</f>
        <v>350</v>
      </c>
      <c r="D17" s="136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</row>
    <row r="18" spans="1:15" ht="15.75" x14ac:dyDescent="0.3">
      <c r="A18" s="140" t="s">
        <v>211</v>
      </c>
      <c r="B18" s="137"/>
      <c r="C18" s="136">
        <f>LOOKUP($B$3,Sheet13!$C$1:$AV$1,Sheet13!C9:AV9)</f>
        <v>0.5917</v>
      </c>
      <c r="D18" s="136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</row>
    <row r="19" spans="1:15" ht="15.75" x14ac:dyDescent="0.3">
      <c r="A19" s="140" t="s">
        <v>212</v>
      </c>
      <c r="B19" s="137"/>
      <c r="C19" s="136">
        <f>LOOKUP($B$3,Sheet13!$C$1:$AV$1,Sheet13!C10:AV10)</f>
        <v>0.46920000000000001</v>
      </c>
      <c r="D19" s="136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</row>
    <row r="20" spans="1:15" ht="15.75" x14ac:dyDescent="0.3">
      <c r="A20" s="140" t="s">
        <v>213</v>
      </c>
      <c r="B20" s="137"/>
      <c r="C20" s="136">
        <f>LOOKUP($B$3,Sheet13!$C$1:$AV$1,Sheet13!C11:AV11)</f>
        <v>0.32700000000000001</v>
      </c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</row>
    <row r="21" spans="1:15" ht="15.75" x14ac:dyDescent="0.3">
      <c r="A21" s="140" t="s">
        <v>214</v>
      </c>
      <c r="B21" s="137"/>
      <c r="C21" s="136">
        <f>LOOKUP($B$3,Sheet13!$C$1:$AV$1,Sheet13!C12:AV12)</f>
        <v>0.69889999999999997</v>
      </c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</row>
    <row r="22" spans="1:15" ht="15.75" x14ac:dyDescent="0.3">
      <c r="A22" s="140" t="s">
        <v>215</v>
      </c>
      <c r="B22" s="137"/>
      <c r="C22" s="136">
        <f>LOOKUP($B$3,Sheet13!$C$1:$AV$1,Sheet13!C13:AV13)</f>
        <v>0.60899999999999999</v>
      </c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</row>
    <row r="23" spans="1:15" ht="15.75" x14ac:dyDescent="0.3">
      <c r="A23" s="140" t="s">
        <v>216</v>
      </c>
      <c r="B23" s="137" t="s">
        <v>18</v>
      </c>
      <c r="C23" s="141">
        <f>LOOKUP($B$3,Sheet13!$C$1:$AV$1,Sheet13!C14:AV14)</f>
        <v>-1.6999150000000001E-10</v>
      </c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</row>
    <row r="24" spans="1:15" ht="15.75" x14ac:dyDescent="0.3">
      <c r="A24" s="140" t="s">
        <v>217</v>
      </c>
      <c r="B24" s="137" t="s">
        <v>18</v>
      </c>
      <c r="C24" s="141">
        <f>LOOKUP($B$3,Sheet13!$C$1:$AV$1,Sheet13!C15:AV15)</f>
        <v>4.2499999999999998E-10</v>
      </c>
      <c r="D24" s="136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</row>
    <row r="25" spans="1:15" ht="15.75" x14ac:dyDescent="0.3">
      <c r="A25" s="140" t="s">
        <v>218</v>
      </c>
      <c r="B25" s="137" t="s">
        <v>18</v>
      </c>
      <c r="C25" s="141">
        <f>LOOKUP($B$3,Sheet13!$C$1:$AV$1,Sheet13!C16:AV16)</f>
        <v>5.0596340000000003E-10</v>
      </c>
      <c r="D25" s="136"/>
      <c r="E25" s="136"/>
      <c r="F25" s="136"/>
      <c r="G25" s="136"/>
      <c r="H25" s="136"/>
      <c r="I25" s="136"/>
      <c r="J25" s="136"/>
      <c r="K25" s="136"/>
      <c r="L25" s="136"/>
      <c r="M25" s="136"/>
      <c r="N25" s="136"/>
      <c r="O25" s="136"/>
    </row>
    <row r="26" spans="1:15" ht="15.75" x14ac:dyDescent="0.3">
      <c r="A26" s="140" t="s">
        <v>219</v>
      </c>
      <c r="B26" s="137" t="s">
        <v>19</v>
      </c>
      <c r="C26" s="142">
        <f>LOOKUP($B$3,Sheet13!$C$1:$AV$1,Sheet13!C17:AV17)</f>
        <v>-1.06645E-2</v>
      </c>
      <c r="D26" s="136"/>
      <c r="E26" s="136"/>
      <c r="F26" s="136"/>
      <c r="G26" s="136"/>
      <c r="H26" s="136"/>
      <c r="I26" s="136"/>
      <c r="J26" s="136"/>
      <c r="K26" s="136"/>
      <c r="L26" s="136"/>
      <c r="M26" s="136"/>
      <c r="N26" s="136"/>
      <c r="O26" s="136"/>
    </row>
    <row r="27" spans="1:15" ht="15.75" x14ac:dyDescent="0.3">
      <c r="A27" s="140" t="s">
        <v>220</v>
      </c>
      <c r="B27" s="137" t="s">
        <v>19</v>
      </c>
      <c r="C27" s="142">
        <f>LOOKUP($B$3,Sheet13!$C$1:$AV$1,Sheet13!C18:AV18)</f>
        <v>2.6662499999999999E-2</v>
      </c>
      <c r="D27" s="136"/>
      <c r="E27" s="136"/>
      <c r="F27" s="136"/>
      <c r="G27" s="136"/>
      <c r="H27" s="136"/>
      <c r="I27" s="136"/>
      <c r="J27" s="136"/>
      <c r="K27" s="136"/>
      <c r="L27" s="136"/>
      <c r="M27" s="136"/>
      <c r="N27" s="136"/>
      <c r="O27" s="136"/>
    </row>
    <row r="28" spans="1:15" ht="15.75" x14ac:dyDescent="0.3">
      <c r="A28" s="140" t="s">
        <v>221</v>
      </c>
      <c r="B28" s="137" t="s">
        <v>19</v>
      </c>
      <c r="C28" s="142">
        <f>LOOKUP($B$3,Sheet13!$C$1:$AV$1,Sheet13!C19:AV19)</f>
        <v>3.181754232658663E-2</v>
      </c>
      <c r="D28" s="136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</row>
    <row r="29" spans="1:15" ht="15.75" x14ac:dyDescent="0.3">
      <c r="A29" s="140" t="s">
        <v>222</v>
      </c>
      <c r="B29" s="137" t="s">
        <v>223</v>
      </c>
      <c r="C29" s="143">
        <f>LOOKUP($B$3,Sheet13!$C$1:$AV$1,Sheet13!C20:AV20)</f>
        <v>-3.0874407739346665</v>
      </c>
      <c r="D29" s="136"/>
      <c r="E29" s="136"/>
      <c r="F29" s="136"/>
      <c r="G29" s="136"/>
      <c r="H29" s="136"/>
      <c r="I29" s="136"/>
      <c r="J29" s="136"/>
      <c r="K29" s="136"/>
      <c r="L29" s="136"/>
      <c r="M29" s="136"/>
      <c r="N29" s="136"/>
      <c r="O29" s="136"/>
    </row>
    <row r="30" spans="1:15" ht="15.75" x14ac:dyDescent="0.3">
      <c r="A30" s="140" t="s">
        <v>224</v>
      </c>
      <c r="B30" s="137" t="s">
        <v>223</v>
      </c>
      <c r="C30" s="143">
        <f>LOOKUP($B$3,Sheet13!$C$1:$AV$1,Sheet13!C21:AV21)</f>
        <v>16.026399999999999</v>
      </c>
      <c r="D30" s="136"/>
      <c r="E30" s="136"/>
      <c r="F30" s="136"/>
      <c r="G30" s="136"/>
      <c r="H30" s="136"/>
      <c r="I30" s="136"/>
      <c r="J30" s="136"/>
      <c r="K30" s="136"/>
      <c r="L30" s="136"/>
      <c r="M30" s="136"/>
      <c r="N30" s="136"/>
      <c r="O30" s="136"/>
    </row>
    <row r="31" spans="1:15" ht="15.75" x14ac:dyDescent="0.3">
      <c r="A31" s="140" t="s">
        <v>225</v>
      </c>
      <c r="B31" s="137" t="s">
        <v>223</v>
      </c>
      <c r="C31" s="143">
        <f>LOOKUP($B$3,Sheet13!$C$1:$AV$1,Sheet13!C22:AV22)</f>
        <v>11.6439</v>
      </c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</row>
    <row r="32" spans="1:15" ht="15.75" x14ac:dyDescent="0.3">
      <c r="A32" s="140" t="s">
        <v>226</v>
      </c>
      <c r="B32" s="137" t="s">
        <v>20</v>
      </c>
      <c r="C32" s="144">
        <f>LOOKUP($B$3,Sheet13!$C$1:$AV$1,Sheet13!C23:AV23)</f>
        <v>-381620937.09096599</v>
      </c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</row>
    <row r="33" spans="1:15" ht="15.75" x14ac:dyDescent="0.3">
      <c r="A33" s="140" t="s">
        <v>227</v>
      </c>
      <c r="B33" s="137" t="s">
        <v>20</v>
      </c>
      <c r="C33" s="144">
        <f>LOOKUP($B$3,Sheet13!$C$1:$AV$1,Sheet13!C24:AV24)</f>
        <v>1983670000</v>
      </c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</row>
    <row r="34" spans="1:15" ht="15.75" x14ac:dyDescent="0.3">
      <c r="A34" s="140" t="s">
        <v>228</v>
      </c>
      <c r="B34" s="137" t="s">
        <v>20</v>
      </c>
      <c r="C34" s="144">
        <f>LOOKUP($B$3,Sheet13!$C$1:$AV$1,Sheet13!C25:AV25)</f>
        <v>1164100899.9805558</v>
      </c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</row>
    <row r="35" spans="1:15" ht="15.75" x14ac:dyDescent="0.3">
      <c r="A35" s="140" t="s">
        <v>229</v>
      </c>
      <c r="B35" s="137" t="s">
        <v>21</v>
      </c>
      <c r="C35" s="138">
        <f>LOOKUP($B$3,Sheet13!$C$1:$AV$1,Sheet13!C26:AV26)</f>
        <v>2011.08</v>
      </c>
      <c r="D35" s="136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6"/>
    </row>
    <row r="36" spans="1:15" ht="15.75" x14ac:dyDescent="0.3">
      <c r="A36" s="140" t="s">
        <v>230</v>
      </c>
      <c r="B36" s="137" t="s">
        <v>21</v>
      </c>
      <c r="C36" s="138">
        <f>LOOKUP($B$3,Sheet13!$C$1:$AV$1,Sheet13!C27:AV27)</f>
        <v>1952.94</v>
      </c>
      <c r="D36" s="136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</row>
    <row r="37" spans="1:15" ht="15.75" x14ac:dyDescent="0.3">
      <c r="A37" s="140" t="s">
        <v>231</v>
      </c>
      <c r="B37" s="137" t="s">
        <v>21</v>
      </c>
      <c r="C37" s="136">
        <f>LOOKUP($B$3,Sheet13!$C$1:$AV$1,Sheet13!C28:AV28)</f>
        <v>1400</v>
      </c>
      <c r="D37" s="136"/>
      <c r="E37" s="136"/>
      <c r="F37" s="136"/>
      <c r="G37" s="136"/>
      <c r="H37" s="136"/>
      <c r="I37" s="136"/>
      <c r="J37" s="136"/>
      <c r="K37" s="136"/>
      <c r="L37" s="136"/>
      <c r="M37" s="136"/>
      <c r="N37" s="136"/>
      <c r="O37" s="136"/>
    </row>
    <row r="38" spans="1:15" ht="15.75" x14ac:dyDescent="0.3">
      <c r="A38" s="140" t="s">
        <v>232</v>
      </c>
      <c r="B38" s="137" t="s">
        <v>21</v>
      </c>
      <c r="C38" s="136">
        <f>LOOKUP($B$3,Sheet13!$C$1:$AV$1,Sheet13!C29:AV29)</f>
        <v>1500</v>
      </c>
      <c r="D38" s="136"/>
      <c r="E38" s="136"/>
      <c r="F38" s="136"/>
      <c r="G38" s="136"/>
      <c r="H38" s="136"/>
      <c r="I38" s="136"/>
      <c r="J38" s="136"/>
      <c r="K38" s="136"/>
      <c r="L38" s="136"/>
      <c r="M38" s="136"/>
      <c r="N38" s="136"/>
      <c r="O38" s="136"/>
    </row>
    <row r="39" spans="1:15" ht="15.75" x14ac:dyDescent="0.3">
      <c r="A39" s="140" t="s">
        <v>233</v>
      </c>
      <c r="B39" s="137" t="s">
        <v>21</v>
      </c>
      <c r="C39" s="138">
        <f>LOOKUP($B$3,Sheet13!$C$1:$AV$1,Sheet13!C30:AV30)</f>
        <v>895.72</v>
      </c>
      <c r="D39" s="136"/>
      <c r="E39" s="136"/>
      <c r="F39" s="136"/>
      <c r="G39" s="136"/>
      <c r="H39" s="136"/>
      <c r="I39" s="136"/>
      <c r="J39" s="136"/>
      <c r="K39" s="136"/>
      <c r="L39" s="136"/>
      <c r="M39" s="136"/>
      <c r="N39" s="136"/>
      <c r="O39" s="136"/>
    </row>
    <row r="40" spans="1:15" ht="15.75" x14ac:dyDescent="0.3">
      <c r="A40" s="140" t="s">
        <v>234</v>
      </c>
      <c r="B40" s="137" t="s">
        <v>21</v>
      </c>
      <c r="C40" s="138">
        <f>LOOKUP($B$3,Sheet13!$C$1:$AV$1,Sheet13!C31:AV31)</f>
        <v>949.51805212043541</v>
      </c>
      <c r="D40" s="136"/>
      <c r="E40" s="136"/>
      <c r="F40" s="136"/>
      <c r="G40" s="136"/>
      <c r="H40" s="136"/>
      <c r="I40" s="136"/>
      <c r="J40" s="136"/>
      <c r="K40" s="136"/>
      <c r="L40" s="136"/>
      <c r="M40" s="136"/>
      <c r="N40" s="136"/>
      <c r="O40" s="136"/>
    </row>
    <row r="41" spans="1:15" ht="15.75" x14ac:dyDescent="0.3">
      <c r="A41" s="140" t="s">
        <v>235</v>
      </c>
      <c r="B41" s="137" t="s">
        <v>21</v>
      </c>
      <c r="C41" s="138">
        <f>LOOKUP($B$3,Sheet13!$C$1:$AV$1,Sheet13!C32:AV32)</f>
        <v>884.01698190000002</v>
      </c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</row>
    <row r="42" spans="1:15" ht="15.75" x14ac:dyDescent="0.3">
      <c r="A42" s="140" t="s">
        <v>236</v>
      </c>
      <c r="B42" s="137"/>
      <c r="C42" s="138">
        <f>LOOKUP($B$3,Sheet13!$C$1:$AV$1,Sheet13!C33:AV33)</f>
        <v>88.92</v>
      </c>
      <c r="D42" s="136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6"/>
    </row>
    <row r="43" spans="1:15" ht="15.75" x14ac:dyDescent="0.3">
      <c r="A43" s="140" t="s">
        <v>237</v>
      </c>
      <c r="B43" s="137"/>
      <c r="C43" s="138">
        <f>LOOKUP($B$3,Sheet13!$C$1:$AV$1,Sheet13!C34:AV34)</f>
        <v>73.78</v>
      </c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</row>
    <row r="44" spans="1:15" ht="14.25" x14ac:dyDescent="0.2">
      <c r="A44" s="145" t="s">
        <v>22</v>
      </c>
      <c r="B44" s="137" t="s">
        <v>238</v>
      </c>
      <c r="C44" s="136">
        <f>LOOKUP($B$3,Sheet13!$C$1:$AV$1,Sheet13!C35:AV35)</f>
        <v>7700</v>
      </c>
      <c r="D44" s="136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</row>
    <row r="45" spans="1:15" ht="14.25" x14ac:dyDescent="0.2">
      <c r="A45" s="145" t="s">
        <v>239</v>
      </c>
      <c r="B45" s="137"/>
      <c r="C45" s="136">
        <f>LOOKUP($B$3,Sheet13!$C$1:$AV$1,Sheet13!C36:AV36)</f>
        <v>0.38919999999999999</v>
      </c>
      <c r="D45" s="136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</row>
    <row r="46" spans="1:15" ht="15.75" x14ac:dyDescent="0.3">
      <c r="A46" s="140" t="s">
        <v>240</v>
      </c>
      <c r="B46" s="137" t="s">
        <v>241</v>
      </c>
      <c r="C46" s="141">
        <f>LOOKUP($B$3,Sheet13!$C$1:$AV$1,Sheet13!C38:AV38)</f>
        <v>1.6955499999999999E-11</v>
      </c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</row>
    <row r="47" spans="1:15" ht="15.75" x14ac:dyDescent="0.3">
      <c r="A47" s="140" t="s">
        <v>242</v>
      </c>
      <c r="B47" s="137" t="s">
        <v>241</v>
      </c>
      <c r="C47" s="141">
        <f>LOOKUP($B$3,Sheet13!$C$1:$AV$1,Sheet13!C39:AV39)</f>
        <v>-6.5991E-12</v>
      </c>
      <c r="D47" s="136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</row>
    <row r="48" spans="1:15" ht="15.75" x14ac:dyDescent="0.3">
      <c r="A48" s="140" t="s">
        <v>243</v>
      </c>
      <c r="B48" s="137" t="s">
        <v>241</v>
      </c>
      <c r="C48" s="141">
        <f>LOOKUP($B$3,Sheet13!$C$1:$AV$1,Sheet13!C40:AV40)</f>
        <v>-8.6118999999999997E-12</v>
      </c>
      <c r="D48" s="136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</row>
    <row r="49" spans="1:15" ht="15.75" x14ac:dyDescent="0.3">
      <c r="A49" s="140" t="s">
        <v>244</v>
      </c>
      <c r="B49" s="137" t="s">
        <v>241</v>
      </c>
      <c r="C49" s="141">
        <f>LOOKUP($B$3,Sheet13!$C$1:$AV$1,Sheet13!C41:AV41)</f>
        <v>2.3200800000000001E-11</v>
      </c>
      <c r="D49" s="136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</row>
    <row r="50" spans="1:15" ht="15.75" x14ac:dyDescent="0.3">
      <c r="A50" s="140" t="s">
        <v>245</v>
      </c>
      <c r="B50" s="137" t="s">
        <v>241</v>
      </c>
      <c r="C50" s="141">
        <f>LOOKUP($B$3,Sheet13!$C$1:$AV$1,Sheet13!C42:AV42)</f>
        <v>4.3453700082562027E-11</v>
      </c>
      <c r="D50" s="136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</row>
    <row r="51" spans="1:15" ht="15.75" x14ac:dyDescent="0.3">
      <c r="A51" s="140" t="s">
        <v>246</v>
      </c>
      <c r="B51" s="137" t="s">
        <v>241</v>
      </c>
      <c r="C51" s="141">
        <f>LOOKUP($B$3,Sheet13!$C$1:$AV$1,Sheet13!C43:AV43)</f>
        <v>4.7109200000000003E-11</v>
      </c>
      <c r="D51" s="136"/>
      <c r="E51" s="136"/>
      <c r="F51" s="136"/>
      <c r="G51" s="136"/>
      <c r="H51" s="136"/>
      <c r="I51" s="136"/>
      <c r="J51" s="136"/>
      <c r="K51" s="136"/>
      <c r="L51" s="136"/>
      <c r="M51" s="136"/>
      <c r="N51" s="136"/>
      <c r="O51" s="136"/>
    </row>
    <row r="52" spans="1:15" ht="15.75" x14ac:dyDescent="0.3">
      <c r="A52" s="140" t="s">
        <v>247</v>
      </c>
      <c r="B52" s="137" t="s">
        <v>241</v>
      </c>
      <c r="C52" s="141">
        <f>LOOKUP($B$3,Sheet13!$C$1:$AV$1,Sheet13!C44:AV44)</f>
        <v>1.5142600000000001E-11</v>
      </c>
      <c r="D52" s="136"/>
      <c r="E52" s="136"/>
      <c r="F52" s="136"/>
      <c r="G52" s="136"/>
      <c r="H52" s="136"/>
      <c r="I52" s="136"/>
      <c r="J52" s="136"/>
      <c r="K52" s="136"/>
      <c r="L52" s="136"/>
      <c r="M52" s="136"/>
      <c r="N52" s="136"/>
      <c r="O52" s="136"/>
    </row>
    <row r="53" spans="1:15" ht="15.75" x14ac:dyDescent="0.3">
      <c r="A53" s="140" t="s">
        <v>248</v>
      </c>
      <c r="B53" s="137" t="s">
        <v>241</v>
      </c>
      <c r="C53" s="141">
        <f>LOOKUP($B$3,Sheet13!$C$1:$AV$1,Sheet13!C45:AV45)</f>
        <v>-8.4118999999999997E-12</v>
      </c>
      <c r="D53" s="136"/>
      <c r="E53" s="136"/>
      <c r="F53" s="136"/>
      <c r="G53" s="136"/>
      <c r="H53" s="136"/>
      <c r="I53" s="136"/>
      <c r="J53" s="136"/>
      <c r="K53" s="136"/>
      <c r="L53" s="136"/>
      <c r="M53" s="136"/>
      <c r="N53" s="136"/>
      <c r="O53" s="136"/>
    </row>
    <row r="54" spans="1:15" ht="15.75" x14ac:dyDescent="0.3">
      <c r="A54" s="140" t="s">
        <v>249</v>
      </c>
      <c r="B54" s="137" t="s">
        <v>241</v>
      </c>
      <c r="C54" s="141">
        <f>LOOKUP($B$3,Sheet13!$C$1:$AV$1,Sheet13!C46:AV46)</f>
        <v>-4.0795000000000001E-12</v>
      </c>
      <c r="D54" s="136"/>
      <c r="E54" s="136"/>
      <c r="F54" s="136"/>
      <c r="G54" s="136"/>
      <c r="H54" s="136"/>
      <c r="I54" s="136"/>
      <c r="J54" s="136"/>
      <c r="K54" s="136"/>
      <c r="L54" s="136"/>
      <c r="M54" s="136"/>
      <c r="N54" s="136"/>
      <c r="O54" s="136"/>
    </row>
    <row r="55" spans="1:15" ht="15.75" x14ac:dyDescent="0.3">
      <c r="A55" s="140" t="s">
        <v>250</v>
      </c>
      <c r="B55" s="137" t="s">
        <v>241</v>
      </c>
      <c r="C55" s="141">
        <f>LOOKUP($B$3,Sheet13!$C$1:$AV$1,Sheet13!C47:AV47)</f>
        <v>1.18692E-11</v>
      </c>
      <c r="D55" s="136"/>
      <c r="E55" s="136"/>
      <c r="F55" s="136"/>
      <c r="G55" s="136"/>
      <c r="H55" s="136"/>
      <c r="I55" s="136"/>
      <c r="J55" s="136"/>
      <c r="K55" s="136"/>
      <c r="L55" s="136"/>
      <c r="M55" s="136"/>
      <c r="N55" s="136"/>
      <c r="O55" s="136"/>
    </row>
    <row r="56" spans="1:15" ht="15.75" x14ac:dyDescent="0.3">
      <c r="A56" s="140" t="s">
        <v>251</v>
      </c>
      <c r="B56" s="137" t="s">
        <v>241</v>
      </c>
      <c r="C56" s="141">
        <f>LOOKUP($B$3,Sheet13!$C$1:$AV$1,Sheet13!C48:AV48)</f>
        <v>2.7339584985099927E-11</v>
      </c>
      <c r="D56" s="136"/>
      <c r="E56" s="136"/>
      <c r="F56" s="136"/>
      <c r="G56" s="136"/>
      <c r="H56" s="136"/>
      <c r="I56" s="136"/>
      <c r="J56" s="136"/>
      <c r="K56" s="136"/>
      <c r="L56" s="136"/>
      <c r="M56" s="136"/>
      <c r="N56" s="136"/>
      <c r="O56" s="136"/>
    </row>
    <row r="57" spans="1:15" ht="15.75" x14ac:dyDescent="0.3">
      <c r="A57" s="140" t="s">
        <v>252</v>
      </c>
      <c r="B57" s="137" t="s">
        <v>253</v>
      </c>
      <c r="C57" s="141">
        <f>LOOKUP($B$3,Sheet13!$C$1:$AV$1,Sheet13!C49:AV49)</f>
        <v>147391094711.82275</v>
      </c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</row>
    <row r="58" spans="1:15" ht="15.75" x14ac:dyDescent="0.3">
      <c r="A58" s="140" t="s">
        <v>254</v>
      </c>
      <c r="B58" s="137" t="s">
        <v>253</v>
      </c>
      <c r="C58" s="141">
        <f>LOOKUP($B$3,Sheet13!$C$1:$AV$1,Sheet13!C50:AV50)</f>
        <v>104936542310.16872</v>
      </c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</row>
    <row r="59" spans="1:15" ht="15.75" x14ac:dyDescent="0.3">
      <c r="A59" s="140" t="s">
        <v>255</v>
      </c>
      <c r="B59" s="137" t="s">
        <v>253</v>
      </c>
      <c r="C59" s="141">
        <f>LOOKUP($B$3,Sheet13!$C$1:$AV$1,Sheet13!C51:AV51)</f>
        <v>93661441729.151062</v>
      </c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</row>
    <row r="60" spans="1:15" ht="15.75" x14ac:dyDescent="0.3">
      <c r="A60" s="140" t="s">
        <v>256</v>
      </c>
      <c r="B60" s="137" t="s">
        <v>253</v>
      </c>
      <c r="C60" s="141">
        <f>LOOKUP($B$3,Sheet13!$C$1:$AV$1,Sheet13!C52:AV52)</f>
        <v>112634000000</v>
      </c>
      <c r="D60" s="136"/>
      <c r="E60" s="136"/>
      <c r="F60" s="136"/>
      <c r="G60" s="136"/>
      <c r="H60" s="136"/>
      <c r="I60" s="136"/>
      <c r="J60" s="136"/>
      <c r="K60" s="136"/>
      <c r="L60" s="136"/>
      <c r="M60" s="136"/>
      <c r="N60" s="136"/>
      <c r="O60" s="136"/>
    </row>
    <row r="61" spans="1:15" ht="15.75" x14ac:dyDescent="0.3">
      <c r="A61" s="140" t="s">
        <v>257</v>
      </c>
      <c r="B61" s="137" t="s">
        <v>253</v>
      </c>
      <c r="C61" s="141">
        <f>LOOKUP($B$3,Sheet13!$C$1:$AV$1,Sheet13!C53:AV53)</f>
        <v>23013000000</v>
      </c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</row>
    <row r="62" spans="1:15" ht="15.75" x14ac:dyDescent="0.3">
      <c r="A62" s="140" t="s">
        <v>258</v>
      </c>
      <c r="B62" s="137" t="s">
        <v>253</v>
      </c>
      <c r="C62" s="141">
        <f>LOOKUP($B$3,Sheet13!$C$1:$AV$1,Sheet13!C54:AV54)</f>
        <v>21227276200.827019</v>
      </c>
      <c r="D62" s="136"/>
      <c r="E62" s="136"/>
      <c r="F62" s="136"/>
      <c r="G62" s="136"/>
      <c r="H62" s="136"/>
      <c r="I62" s="136"/>
      <c r="J62" s="136"/>
      <c r="K62" s="136"/>
      <c r="L62" s="136"/>
      <c r="M62" s="136"/>
      <c r="N62" s="136"/>
      <c r="O62" s="136"/>
    </row>
    <row r="63" spans="1:15" ht="15.75" x14ac:dyDescent="0.3">
      <c r="A63" s="140" t="s">
        <v>259</v>
      </c>
      <c r="B63" s="137" t="s">
        <v>253</v>
      </c>
      <c r="C63" s="141">
        <f>LOOKUP($B$3,Sheet13!$C$1:$AV$1,Sheet13!C55:AV55)</f>
        <v>148570050440.77859</v>
      </c>
      <c r="D63" s="136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</row>
    <row r="64" spans="1:15" ht="15.75" x14ac:dyDescent="0.3">
      <c r="A64" s="140" t="s">
        <v>260</v>
      </c>
      <c r="B64" s="137" t="s">
        <v>253</v>
      </c>
      <c r="C64" s="141">
        <f>LOOKUP($B$3,Sheet13!$C$1:$AV$1,Sheet13!C56:AV56)</f>
        <v>106115317799.45738</v>
      </c>
      <c r="D64" s="136"/>
      <c r="E64" s="136"/>
      <c r="F64" s="136"/>
      <c r="G64" s="136"/>
      <c r="H64" s="136"/>
      <c r="I64" s="136"/>
      <c r="J64" s="136"/>
      <c r="K64" s="136"/>
      <c r="L64" s="136"/>
      <c r="M64" s="136"/>
      <c r="N64" s="136"/>
      <c r="O64" s="136"/>
    </row>
    <row r="65" spans="1:15" ht="15.75" x14ac:dyDescent="0.3">
      <c r="A65" s="140" t="s">
        <v>261</v>
      </c>
      <c r="B65" s="137" t="s">
        <v>253</v>
      </c>
      <c r="C65" s="141">
        <f>LOOKUP($B$3,Sheet13!$C$1:$AV$1,Sheet13!C57:AV57)</f>
        <v>87536561835.342102</v>
      </c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</row>
    <row r="66" spans="1:15" ht="15.75" x14ac:dyDescent="0.3">
      <c r="A66" s="140" t="s">
        <v>262</v>
      </c>
      <c r="B66" s="137" t="s">
        <v>253</v>
      </c>
      <c r="C66" s="141">
        <f>LOOKUP($B$3,Sheet13!$C$1:$AV$1,Sheet13!C58:AV58)</f>
        <v>144425000000</v>
      </c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6"/>
    </row>
    <row r="67" spans="1:15" ht="15.75" x14ac:dyDescent="0.3">
      <c r="A67" s="140" t="s">
        <v>263</v>
      </c>
      <c r="B67" s="137" t="s">
        <v>253</v>
      </c>
      <c r="C67" s="141">
        <f>LOOKUP($B$3,Sheet13!$C$1:$AV$1,Sheet13!C59:AV59)</f>
        <v>36577000000</v>
      </c>
      <c r="D67" s="136"/>
      <c r="E67" s="136"/>
      <c r="F67" s="136"/>
      <c r="G67" s="136"/>
      <c r="H67" s="136"/>
      <c r="I67" s="136"/>
      <c r="J67" s="136"/>
      <c r="K67" s="136"/>
      <c r="L67" s="136"/>
      <c r="M67" s="136"/>
      <c r="N67" s="136"/>
      <c r="O67" s="136"/>
    </row>
    <row r="68" spans="1:15" ht="15.75" x14ac:dyDescent="0.3">
      <c r="A68" s="140" t="s">
        <v>264</v>
      </c>
      <c r="B68" s="137" t="s">
        <v>23</v>
      </c>
      <c r="C68" s="146">
        <f>LOOKUP($B$3,Sheet13!$C$1:$AV$1,Sheet13!C60:AV60)</f>
        <v>58.977912771667015</v>
      </c>
      <c r="D68" s="136"/>
      <c r="E68" s="136"/>
      <c r="F68" s="136"/>
      <c r="G68" s="136"/>
      <c r="H68" s="136"/>
      <c r="I68" s="136"/>
      <c r="J68" s="136"/>
      <c r="K68" s="136"/>
      <c r="L68" s="136"/>
      <c r="M68" s="136"/>
      <c r="N68" s="136"/>
      <c r="O68" s="136"/>
    </row>
    <row r="69" spans="1:15" ht="15.75" x14ac:dyDescent="0.3">
      <c r="A69" s="140" t="s">
        <v>265</v>
      </c>
      <c r="B69" s="137" t="s">
        <v>23</v>
      </c>
      <c r="C69" s="146">
        <f>LOOKUP($B$3,Sheet13!$C$1:$AV$1,Sheet13!C61:AV61)</f>
        <v>43.101962001310298</v>
      </c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</row>
    <row r="70" spans="1:15" ht="15.75" x14ac:dyDescent="0.3">
      <c r="A70" s="140" t="s">
        <v>266</v>
      </c>
      <c r="B70" s="137" t="s">
        <v>23</v>
      </c>
      <c r="C70" s="146">
        <f>LOOKUP($B$3,Sheet13!$C$1:$AV$1,Sheet13!C62:AV62)</f>
        <v>66.038857263613906</v>
      </c>
      <c r="D70" s="136"/>
      <c r="E70" s="136"/>
      <c r="F70" s="136"/>
      <c r="G70" s="136"/>
      <c r="H70" s="136"/>
      <c r="I70" s="136"/>
      <c r="J70" s="136"/>
      <c r="K70" s="136"/>
      <c r="L70" s="136"/>
      <c r="M70" s="136"/>
      <c r="N70" s="136"/>
      <c r="O70" s="136"/>
    </row>
    <row r="71" spans="1:15" ht="15.75" x14ac:dyDescent="0.3">
      <c r="A71" s="140" t="s">
        <v>267</v>
      </c>
      <c r="B71" s="137" t="s">
        <v>23</v>
      </c>
      <c r="C71" s="146">
        <f>LOOKUP($B$3,Sheet13!$C$1:$AV$1,Sheet13!C63:AV63)</f>
        <v>84.251676608364505</v>
      </c>
      <c r="D71" s="136"/>
      <c r="E71" s="136"/>
      <c r="F71" s="136"/>
      <c r="G71" s="136"/>
      <c r="H71" s="136"/>
      <c r="I71" s="136"/>
      <c r="J71" s="136"/>
      <c r="K71" s="136"/>
      <c r="L71" s="136"/>
      <c r="M71" s="136"/>
      <c r="N71" s="136"/>
      <c r="O71" s="136"/>
    </row>
    <row r="72" spans="1:15" ht="18.75" x14ac:dyDescent="0.35">
      <c r="A72" s="147" t="s">
        <v>268</v>
      </c>
      <c r="B72" s="136" t="s">
        <v>183</v>
      </c>
      <c r="C72" s="148">
        <v>8.8541843000000006E-12</v>
      </c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</row>
    <row r="73" spans="1:15" x14ac:dyDescent="0.2">
      <c r="A73" s="140" t="s">
        <v>170</v>
      </c>
      <c r="B73" s="137"/>
      <c r="C73" s="136"/>
      <c r="D73" s="136"/>
      <c r="E73" s="136"/>
      <c r="F73" s="136"/>
      <c r="G73" s="136"/>
      <c r="H73" s="136"/>
      <c r="I73" s="136"/>
      <c r="J73" s="136"/>
      <c r="K73" s="136"/>
      <c r="L73" s="136"/>
      <c r="M73" s="136"/>
      <c r="N73" s="136"/>
      <c r="O73" s="136"/>
    </row>
    <row r="74" spans="1:15" x14ac:dyDescent="0.2">
      <c r="A74" s="136"/>
      <c r="B74" s="137"/>
      <c r="C74" s="136"/>
      <c r="D74" s="136"/>
      <c r="E74" s="136"/>
      <c r="F74" s="136"/>
      <c r="G74" s="136"/>
      <c r="H74" s="136"/>
      <c r="I74" s="136"/>
      <c r="J74" s="136"/>
      <c r="K74" s="136"/>
      <c r="L74" s="136"/>
      <c r="M74" s="136"/>
      <c r="N74" s="136"/>
      <c r="O74" s="136"/>
    </row>
    <row r="75" spans="1:15" ht="15.75" customHeight="1" x14ac:dyDescent="0.3">
      <c r="A75" s="149" t="s">
        <v>269</v>
      </c>
      <c r="B75" s="150" t="s">
        <v>21</v>
      </c>
      <c r="C75" s="151">
        <f>LOOKUP($B$3,Sheet13!$C$1:$AV$1,Sheet13!C67:AV67)</f>
        <v>-326.93832359999999</v>
      </c>
      <c r="D75" s="201" t="s">
        <v>173</v>
      </c>
      <c r="E75" s="201"/>
      <c r="F75" s="136"/>
      <c r="G75" s="136"/>
      <c r="H75" s="136"/>
      <c r="I75" s="136"/>
      <c r="J75" s="136"/>
      <c r="K75" s="136"/>
      <c r="L75" s="136"/>
      <c r="M75" s="136"/>
      <c r="N75" s="136"/>
      <c r="O75" s="136"/>
    </row>
    <row r="76" spans="1:15" ht="15.75" x14ac:dyDescent="0.3">
      <c r="A76" s="152" t="s">
        <v>270</v>
      </c>
      <c r="B76" s="153" t="s">
        <v>21</v>
      </c>
      <c r="C76" s="154">
        <f>LOOKUP($B$3,Sheet13!$C$1:$AV$1,Sheet13!C68:AV68)</f>
        <v>2063.1478029999998</v>
      </c>
      <c r="D76" s="202"/>
      <c r="E76" s="202"/>
      <c r="F76" s="136"/>
      <c r="G76" s="136"/>
      <c r="H76" s="136"/>
      <c r="I76" s="136"/>
      <c r="J76" s="136"/>
      <c r="K76" s="136"/>
      <c r="L76" s="136"/>
      <c r="M76" s="136"/>
      <c r="N76" s="136"/>
      <c r="O76" s="136"/>
    </row>
    <row r="77" spans="1:15" ht="15.75" x14ac:dyDescent="0.3">
      <c r="A77" s="149" t="s">
        <v>271</v>
      </c>
      <c r="B77" s="150" t="s">
        <v>21</v>
      </c>
      <c r="C77" s="155">
        <f>LOOKUP($B$3,Sheet13!$C$1:$AV$1,Sheet13!C69:AV69)</f>
        <v>903</v>
      </c>
      <c r="D77" s="203" t="s">
        <v>176</v>
      </c>
      <c r="E77" s="203"/>
      <c r="F77" s="136"/>
      <c r="G77" s="136"/>
      <c r="H77" s="136"/>
      <c r="I77" s="136"/>
      <c r="J77" s="136"/>
      <c r="K77" s="136"/>
      <c r="L77" s="136"/>
      <c r="M77" s="136"/>
      <c r="N77" s="136"/>
      <c r="O77" s="136"/>
    </row>
    <row r="78" spans="1:15" ht="15.75" x14ac:dyDescent="0.3">
      <c r="A78" s="156" t="s">
        <v>272</v>
      </c>
      <c r="B78" s="157" t="s">
        <v>21</v>
      </c>
      <c r="C78" s="158">
        <f>LOOKUP($B$3,Sheet13!$C$1:$AV$1,Sheet13!C70:AV70)</f>
        <v>1053</v>
      </c>
      <c r="D78" s="204"/>
      <c r="E78" s="204"/>
      <c r="F78" s="136"/>
      <c r="G78" s="136"/>
      <c r="H78" s="136"/>
      <c r="I78" s="136"/>
      <c r="J78" s="136"/>
      <c r="K78" s="136"/>
      <c r="L78" s="136"/>
      <c r="M78" s="136"/>
      <c r="N78" s="136"/>
      <c r="O78" s="136"/>
    </row>
    <row r="79" spans="1:15" ht="15.75" x14ac:dyDescent="0.3">
      <c r="A79" s="156" t="s">
        <v>273</v>
      </c>
      <c r="B79" s="157" t="s">
        <v>21</v>
      </c>
      <c r="C79" s="159">
        <f>LOOKUP($B$3,Sheet13!$C$1:$AV$1,Sheet13!C71:AV71)</f>
        <v>243.48613686730869</v>
      </c>
      <c r="D79" s="204"/>
      <c r="E79" s="204"/>
      <c r="F79" s="136"/>
      <c r="G79" s="136"/>
      <c r="H79" s="136"/>
      <c r="I79" s="136"/>
      <c r="J79" s="136"/>
      <c r="K79" s="136"/>
      <c r="L79" s="136"/>
      <c r="M79" s="136"/>
      <c r="N79" s="136"/>
      <c r="O79" s="136"/>
    </row>
    <row r="80" spans="1:15" ht="15.75" x14ac:dyDescent="0.3">
      <c r="A80" s="152" t="s">
        <v>274</v>
      </c>
      <c r="B80" s="153" t="s">
        <v>21</v>
      </c>
      <c r="C80" s="154">
        <f>LOOKUP($B$3,Sheet13!$C$1:$AV$1,Sheet13!C72:AV72)</f>
        <v>850.11350863680707</v>
      </c>
      <c r="D80" s="205"/>
      <c r="E80" s="205"/>
      <c r="F80" s="136"/>
      <c r="G80" s="136"/>
      <c r="H80" s="136"/>
      <c r="I80" s="136"/>
      <c r="J80" s="136"/>
      <c r="K80" s="136"/>
      <c r="L80" s="136"/>
      <c r="M80" s="136"/>
      <c r="N80" s="136"/>
      <c r="O80" s="136"/>
    </row>
    <row r="81" spans="1:15" ht="15.75" x14ac:dyDescent="0.3">
      <c r="A81" s="149" t="s">
        <v>275</v>
      </c>
      <c r="B81" s="150" t="s">
        <v>21</v>
      </c>
      <c r="C81" s="155">
        <f>LOOKUP($B$3,Sheet13!$C$1:$AV$1,Sheet13!C73:AV73)</f>
        <v>867</v>
      </c>
      <c r="D81" s="203" t="s">
        <v>182</v>
      </c>
      <c r="E81" s="203"/>
      <c r="F81" s="136"/>
      <c r="G81" s="136"/>
      <c r="H81" s="136"/>
      <c r="I81" s="136"/>
      <c r="J81" s="136"/>
      <c r="K81" s="136"/>
      <c r="L81" s="136"/>
      <c r="M81" s="136"/>
      <c r="N81" s="136"/>
      <c r="O81" s="136"/>
    </row>
    <row r="82" spans="1:15" ht="15.75" x14ac:dyDescent="0.3">
      <c r="A82" s="156" t="s">
        <v>276</v>
      </c>
      <c r="B82" s="157" t="s">
        <v>21</v>
      </c>
      <c r="C82" s="158">
        <f>LOOKUP($B$3,Sheet13!$C$1:$AV$1,Sheet13!C74:AV74)</f>
        <v>913</v>
      </c>
      <c r="D82" s="204"/>
      <c r="E82" s="204"/>
      <c r="F82" s="136"/>
      <c r="G82" s="136"/>
      <c r="H82" s="136"/>
      <c r="I82" s="136"/>
      <c r="J82" s="136"/>
      <c r="K82" s="136"/>
      <c r="L82" s="136"/>
      <c r="M82" s="136"/>
      <c r="N82" s="136"/>
      <c r="O82" s="136"/>
    </row>
    <row r="83" spans="1:15" ht="15.75" x14ac:dyDescent="0.3">
      <c r="A83" s="156" t="s">
        <v>277</v>
      </c>
      <c r="B83" s="157" t="s">
        <v>21</v>
      </c>
      <c r="C83" s="159">
        <f>LOOKUP($B$3,Sheet13!$C$1:$AV$1,Sheet13!C75:AV75)</f>
        <v>198.13959069179825</v>
      </c>
      <c r="D83" s="204"/>
      <c r="E83" s="204"/>
      <c r="F83" s="136"/>
      <c r="G83" s="136"/>
      <c r="H83" s="136"/>
      <c r="I83" s="136"/>
      <c r="J83" s="136"/>
      <c r="K83" s="136"/>
      <c r="L83" s="136"/>
      <c r="M83" s="136"/>
      <c r="N83" s="136"/>
      <c r="O83" s="136"/>
    </row>
    <row r="84" spans="1:15" ht="15.75" x14ac:dyDescent="0.3">
      <c r="A84" s="152" t="s">
        <v>278</v>
      </c>
      <c r="B84" s="153" t="s">
        <v>21</v>
      </c>
      <c r="C84" s="154">
        <f>LOOKUP($B$3,Sheet13!$C$1:$AV$1,Sheet13!C76:AV76)</f>
        <v>859.41885657329124</v>
      </c>
      <c r="D84" s="205"/>
      <c r="E84" s="205"/>
      <c r="F84" s="136"/>
      <c r="G84" s="136"/>
      <c r="H84" s="136"/>
      <c r="I84" s="136"/>
      <c r="J84" s="136"/>
      <c r="K84" s="136"/>
      <c r="L84" s="136"/>
      <c r="M84" s="136"/>
      <c r="N84" s="136"/>
      <c r="O84" s="136"/>
    </row>
  </sheetData>
  <sheetProtection algorithmName="SHA-512" hashValue="3K/S1hCXS98pH8jHwLvjd0COYJtixP5v+zwyy/uSjbIQ8VJ5GN8cL7AwDkSnXRZs5DiDFaTZBmpK50FWgT1DVw==" saltValue="A/ScOUxscfHHvHDgB28CZQ==" spinCount="100000" sheet="1" selectLockedCells="1" sort="0" selectUnlockedCells="1"/>
  <mergeCells count="3">
    <mergeCell ref="D75:E76"/>
    <mergeCell ref="D77:E80"/>
    <mergeCell ref="D81:E84"/>
  </mergeCells>
  <phoneticPr fontId="0" type="noConversion"/>
  <pageMargins left="0.75" right="0.75" top="1" bottom="1" header="0" footer="0"/>
  <headerFooter alignWithMargins="0"/>
  <ignoredErrors>
    <ignoredError sqref="C75:C80 C12:C72" emptyCellReferenc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4"/>
  <dimension ref="A1:G38"/>
  <sheetViews>
    <sheetView zoomScale="90" zoomScaleNormal="90" workbookViewId="0">
      <selection activeCell="B20" sqref="B20:C20"/>
    </sheetView>
  </sheetViews>
  <sheetFormatPr defaultColWidth="9.140625" defaultRowHeight="12.75" x14ac:dyDescent="0.2"/>
  <cols>
    <col min="1" max="1" width="11.7109375" style="16" customWidth="1"/>
    <col min="2" max="2" width="20.7109375" style="16" customWidth="1"/>
    <col min="3" max="4" width="9.140625" style="16"/>
    <col min="5" max="5" width="26.42578125" style="16" customWidth="1"/>
    <col min="6" max="6" width="14.5703125" style="16" bestFit="1" customWidth="1"/>
    <col min="7" max="16384" width="9.140625" style="16"/>
  </cols>
  <sheetData>
    <row r="1" spans="1:7" x14ac:dyDescent="0.2">
      <c r="A1" s="16" t="s">
        <v>4</v>
      </c>
    </row>
    <row r="2" spans="1:7" x14ac:dyDescent="0.2">
      <c r="A2" s="16" t="s">
        <v>50</v>
      </c>
      <c r="C2" s="16">
        <v>1</v>
      </c>
    </row>
    <row r="4" spans="1:7" x14ac:dyDescent="0.2">
      <c r="F4" s="21"/>
    </row>
    <row r="5" spans="1:7" x14ac:dyDescent="0.2">
      <c r="A5" s="16" t="s">
        <v>34</v>
      </c>
      <c r="E5" s="16" t="s">
        <v>35</v>
      </c>
    </row>
    <row r="6" spans="1:7" ht="15.75" x14ac:dyDescent="0.3">
      <c r="A6" s="16" t="s">
        <v>205</v>
      </c>
      <c r="B6" s="21">
        <f>Sheet6!C12</f>
        <v>1795.99</v>
      </c>
      <c r="F6" s="21"/>
    </row>
    <row r="7" spans="1:7" ht="15.75" x14ac:dyDescent="0.3">
      <c r="A7" s="16" t="s">
        <v>206</v>
      </c>
      <c r="B7" s="21">
        <f>Sheet6!C13</f>
        <v>1802.77</v>
      </c>
      <c r="E7" s="16" t="s">
        <v>98</v>
      </c>
      <c r="F7" s="21">
        <f>IF(Sheet5!N13*Sheet5!N15=1,1000000000000*(B7*Sheet6!C72*PI()*((C28/2)^2))/C30,"N/A")</f>
        <v>31341.427260318</v>
      </c>
      <c r="G7" s="16" t="s">
        <v>2</v>
      </c>
    </row>
    <row r="8" spans="1:7" ht="15.75" x14ac:dyDescent="0.3">
      <c r="A8" s="23" t="s">
        <v>229</v>
      </c>
      <c r="B8" s="16">
        <f>Sheet6!C35</f>
        <v>2011.08</v>
      </c>
      <c r="C8" s="16" t="s">
        <v>21</v>
      </c>
      <c r="E8" s="16" t="s">
        <v>103</v>
      </c>
      <c r="F8" s="21">
        <f>IF(C28&gt;0,0.001*B8/C28,"N/A")</f>
        <v>40.221599999999995</v>
      </c>
      <c r="G8" s="16" t="s">
        <v>3</v>
      </c>
    </row>
    <row r="9" spans="1:7" ht="15.75" x14ac:dyDescent="0.3">
      <c r="A9" s="23" t="s">
        <v>230</v>
      </c>
      <c r="B9" s="16">
        <f>Sheet6!C36</f>
        <v>1952.94</v>
      </c>
      <c r="C9" s="16" t="s">
        <v>21</v>
      </c>
      <c r="E9" s="16" t="s">
        <v>5</v>
      </c>
      <c r="F9" s="16">
        <f>IF(AND(NOT(ISERROR(B14)),C30&gt;0),0.001*B14/C30,"N/A")</f>
        <v>1952.94</v>
      </c>
      <c r="G9" s="16" t="s">
        <v>3</v>
      </c>
    </row>
    <row r="10" spans="1:7" ht="15.75" x14ac:dyDescent="0.3">
      <c r="A10" s="23" t="s">
        <v>231</v>
      </c>
      <c r="B10" s="16">
        <f>Sheet6!C37</f>
        <v>1400</v>
      </c>
      <c r="C10" s="16" t="s">
        <v>21</v>
      </c>
    </row>
    <row r="11" spans="1:7" ht="15.75" x14ac:dyDescent="0.3">
      <c r="A11" s="23" t="s">
        <v>232</v>
      </c>
      <c r="B11" s="21">
        <f>Sheet6!C38</f>
        <v>1500</v>
      </c>
      <c r="C11" s="16" t="s">
        <v>21</v>
      </c>
      <c r="E11" s="16" t="s">
        <v>42</v>
      </c>
      <c r="F11" s="26">
        <f>1000000*(2*B18*C33*(C28/2))/C30</f>
        <v>0</v>
      </c>
      <c r="G11" s="16" t="s">
        <v>106</v>
      </c>
    </row>
    <row r="12" spans="1:7" ht="15.75" x14ac:dyDescent="0.3">
      <c r="A12" s="23" t="s">
        <v>233</v>
      </c>
      <c r="B12" s="21">
        <f>Sheet6!C39</f>
        <v>895.72</v>
      </c>
      <c r="C12" s="16" t="s">
        <v>21</v>
      </c>
      <c r="E12" s="16" t="s">
        <v>43</v>
      </c>
      <c r="F12" s="28">
        <f>1000000*B17*C33</f>
        <v>0</v>
      </c>
      <c r="G12" s="16" t="s">
        <v>106</v>
      </c>
    </row>
    <row r="13" spans="1:7" ht="15.75" x14ac:dyDescent="0.3">
      <c r="A13" s="23" t="s">
        <v>279</v>
      </c>
      <c r="B13" s="27">
        <f>C30/C28*Sheet6!C75+Sheet6!C76</f>
        <v>2056.6090365279997</v>
      </c>
      <c r="C13" s="16" t="s">
        <v>21</v>
      </c>
    </row>
    <row r="14" spans="1:7" ht="15.75" x14ac:dyDescent="0.3">
      <c r="A14" s="23" t="s">
        <v>280</v>
      </c>
      <c r="B14" s="21">
        <f>IF(Sheet6!C75*Sheet6!C76&lt;&gt;0,IF(B13&lt;B9,IF(B13&gt;B11,B13,B11),B9),B9)</f>
        <v>1952.94</v>
      </c>
      <c r="C14" s="16" t="s">
        <v>21</v>
      </c>
      <c r="E14" s="16" t="s">
        <v>45</v>
      </c>
      <c r="F14" s="26">
        <f>IF(C28&gt;0,(B20*C37)/(PI()*C28),"N/A")</f>
        <v>0</v>
      </c>
      <c r="G14" s="16" t="s">
        <v>107</v>
      </c>
    </row>
    <row r="15" spans="1:7" x14ac:dyDescent="0.2">
      <c r="A15" s="23"/>
      <c r="E15" s="16" t="s">
        <v>44</v>
      </c>
      <c r="F15" s="26">
        <f>IF(C28&gt;0,(B21*C38*C30)/(PI()*(C28/2)^2),"N/A")</f>
        <v>0</v>
      </c>
      <c r="G15" s="16" t="s">
        <v>107</v>
      </c>
    </row>
    <row r="16" spans="1:7" x14ac:dyDescent="0.2">
      <c r="A16" s="23"/>
    </row>
    <row r="17" spans="1:4" ht="15.75" x14ac:dyDescent="0.3">
      <c r="A17" s="23" t="s">
        <v>217</v>
      </c>
      <c r="B17" s="24">
        <f>Sheet6!C24</f>
        <v>4.2499999999999998E-10</v>
      </c>
      <c r="C17" s="16" t="s">
        <v>18</v>
      </c>
    </row>
    <row r="18" spans="1:4" ht="15.75" x14ac:dyDescent="0.3">
      <c r="A18" s="23" t="s">
        <v>216</v>
      </c>
      <c r="B18" s="24">
        <f>Sheet6!C23</f>
        <v>-1.6999150000000001E-10</v>
      </c>
      <c r="C18" s="16" t="s">
        <v>18</v>
      </c>
    </row>
    <row r="19" spans="1:4" ht="15.75" x14ac:dyDescent="0.3">
      <c r="A19" s="23" t="s">
        <v>218</v>
      </c>
      <c r="B19" s="24">
        <f>Sheet6!C24</f>
        <v>4.2499999999999998E-10</v>
      </c>
      <c r="C19" s="16" t="s">
        <v>18</v>
      </c>
    </row>
    <row r="20" spans="1:4" ht="15.75" x14ac:dyDescent="0.3">
      <c r="A20" s="23" t="s">
        <v>219</v>
      </c>
      <c r="B20" s="29">
        <f>Sheet6!C26</f>
        <v>-1.06645E-2</v>
      </c>
      <c r="C20" s="16" t="s">
        <v>19</v>
      </c>
    </row>
    <row r="21" spans="1:4" ht="15.75" x14ac:dyDescent="0.3">
      <c r="A21" s="23" t="s">
        <v>220</v>
      </c>
      <c r="B21" s="29">
        <f>Sheet6!C27</f>
        <v>2.6662499999999999E-2</v>
      </c>
      <c r="C21" s="16" t="s">
        <v>19</v>
      </c>
    </row>
    <row r="22" spans="1:4" ht="15.75" x14ac:dyDescent="0.3">
      <c r="A22" s="23" t="s">
        <v>221</v>
      </c>
      <c r="B22" s="29">
        <f>Sheet6!C28</f>
        <v>3.181754232658663E-2</v>
      </c>
      <c r="C22" s="16" t="s">
        <v>19</v>
      </c>
    </row>
    <row r="25" spans="1:4" x14ac:dyDescent="0.2">
      <c r="A25" s="16" t="s">
        <v>37</v>
      </c>
    </row>
    <row r="27" spans="1:4" x14ac:dyDescent="0.2">
      <c r="A27" s="16" t="s">
        <v>40</v>
      </c>
    </row>
    <row r="28" spans="1:4" x14ac:dyDescent="0.2">
      <c r="B28" s="23" t="s">
        <v>172</v>
      </c>
      <c r="C28" s="25">
        <f>'Front page'!D12/1000</f>
        <v>0.05</v>
      </c>
      <c r="D28" s="16" t="s">
        <v>46</v>
      </c>
    </row>
    <row r="29" spans="1:4" x14ac:dyDescent="0.2">
      <c r="B29" s="22" t="s">
        <v>52</v>
      </c>
      <c r="C29" s="30">
        <f>'Front page'!D13/1000</f>
        <v>0.04</v>
      </c>
      <c r="D29" s="22" t="s">
        <v>46</v>
      </c>
    </row>
    <row r="30" spans="1:4" x14ac:dyDescent="0.2">
      <c r="B30" s="23" t="s">
        <v>169</v>
      </c>
      <c r="C30" s="25">
        <f>'Front page'!D14/1000</f>
        <v>1E-3</v>
      </c>
      <c r="D30" s="16" t="s">
        <v>46</v>
      </c>
    </row>
    <row r="32" spans="1:4" x14ac:dyDescent="0.2">
      <c r="A32" s="16" t="s">
        <v>41</v>
      </c>
    </row>
    <row r="33" spans="1:4" x14ac:dyDescent="0.2">
      <c r="B33" s="16" t="s">
        <v>38</v>
      </c>
      <c r="C33" s="16">
        <f>'Front page'!D26</f>
        <v>0</v>
      </c>
      <c r="D33" s="16" t="s">
        <v>107</v>
      </c>
    </row>
    <row r="36" spans="1:4" x14ac:dyDescent="0.2">
      <c r="A36" s="16" t="s">
        <v>39</v>
      </c>
    </row>
    <row r="37" spans="1:4" x14ac:dyDescent="0.2">
      <c r="B37" s="16" t="s">
        <v>164</v>
      </c>
      <c r="C37" s="16">
        <f>'Front page'!D33</f>
        <v>0</v>
      </c>
      <c r="D37" s="16" t="s">
        <v>108</v>
      </c>
    </row>
    <row r="38" spans="1:4" x14ac:dyDescent="0.2">
      <c r="B38" s="16" t="s">
        <v>165</v>
      </c>
      <c r="C38" s="16">
        <f>'Front page'!D34</f>
        <v>0</v>
      </c>
      <c r="D38" s="16" t="s">
        <v>108</v>
      </c>
    </row>
  </sheetData>
  <sheetProtection algorithmName="SHA-512" hashValue="p7WbdCIHUjuESVR93arn1lnZ4RFMUlyYOauTlGqrY1f7zMpS8xpslxvX2eg75ax2DM2x+uQEjtz1eA12SFC3zg==" saltValue="DQMtt/KT22O9NIjWJzuwOQ==" spinCount="100000" sheet="1" objects="1" scenarios="1" selectLockedCells="1" selectUnlockedCells="1"/>
  <phoneticPr fontId="0" type="noConversion"/>
  <pageMargins left="0.75" right="0.75" top="1" bottom="1" header="0.5" footer="0.5"/>
  <headerFooter alignWithMargins="0"/>
  <ignoredErrors>
    <ignoredError sqref="B18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5"/>
  <dimension ref="A1:K39"/>
  <sheetViews>
    <sheetView workbookViewId="0">
      <selection activeCell="H1" sqref="H1"/>
    </sheetView>
  </sheetViews>
  <sheetFormatPr defaultColWidth="9.140625" defaultRowHeight="12.75" x14ac:dyDescent="0.2"/>
  <cols>
    <col min="1" max="1" width="11.7109375" style="16" customWidth="1"/>
    <col min="2" max="2" width="20.7109375" style="16" customWidth="1"/>
    <col min="3" max="3" width="9.140625" style="16"/>
    <col min="4" max="4" width="4.28515625" style="16" customWidth="1"/>
    <col min="5" max="5" width="24.7109375" style="16" customWidth="1"/>
    <col min="6" max="6" width="9.7109375" style="16" customWidth="1"/>
    <col min="7" max="7" width="5" style="16" customWidth="1"/>
    <col min="8" max="16384" width="9.140625" style="16"/>
  </cols>
  <sheetData>
    <row r="1" spans="1:11" x14ac:dyDescent="0.2">
      <c r="A1" s="16" t="s">
        <v>75</v>
      </c>
      <c r="H1" s="206"/>
      <c r="I1" s="206"/>
      <c r="J1" s="206"/>
      <c r="K1" s="206"/>
    </row>
    <row r="2" spans="1:11" x14ac:dyDescent="0.2">
      <c r="A2" s="16" t="s">
        <v>50</v>
      </c>
      <c r="C2" s="16">
        <v>2</v>
      </c>
      <c r="H2" s="206"/>
      <c r="I2" s="206"/>
      <c r="J2" s="206"/>
      <c r="K2" s="206"/>
    </row>
    <row r="3" spans="1:11" x14ac:dyDescent="0.2">
      <c r="H3" s="206"/>
      <c r="I3" s="206"/>
      <c r="J3" s="206"/>
      <c r="K3" s="206"/>
    </row>
    <row r="4" spans="1:11" x14ac:dyDescent="0.2">
      <c r="F4" s="21"/>
      <c r="H4" s="206"/>
      <c r="I4" s="206"/>
      <c r="J4" s="206"/>
      <c r="K4" s="206"/>
    </row>
    <row r="5" spans="1:11" x14ac:dyDescent="0.2">
      <c r="A5" s="16" t="s">
        <v>34</v>
      </c>
      <c r="E5" s="16" t="s">
        <v>35</v>
      </c>
      <c r="F5" s="27"/>
      <c r="H5" s="206"/>
      <c r="I5" s="206"/>
      <c r="J5" s="206"/>
      <c r="K5" s="206"/>
    </row>
    <row r="6" spans="1:11" ht="15.75" x14ac:dyDescent="0.3">
      <c r="A6" s="16" t="s">
        <v>205</v>
      </c>
      <c r="B6" s="21">
        <f>Sheet6!C12</f>
        <v>1795.99</v>
      </c>
      <c r="F6" s="27"/>
      <c r="H6" s="206"/>
      <c r="I6" s="206"/>
      <c r="J6" s="206"/>
      <c r="K6" s="206"/>
    </row>
    <row r="7" spans="1:11" ht="15.75" x14ac:dyDescent="0.3">
      <c r="A7" s="16" t="s">
        <v>206</v>
      </c>
      <c r="B7" s="21">
        <f>Sheet6!C13</f>
        <v>1802.77</v>
      </c>
      <c r="E7" s="16" t="s">
        <v>98</v>
      </c>
      <c r="F7" s="21">
        <f>IF(PRODUCT(Sheet5!N13:N15)=1,1000000000000*(B7*Sheet6!C72*PI()*((C28^2)-(C29^2)))/(4*C30),"N/A")</f>
        <v>11282.913813714484</v>
      </c>
      <c r="G7" s="16" t="s">
        <v>2</v>
      </c>
      <c r="H7" s="206"/>
      <c r="I7" s="206"/>
      <c r="J7" s="206"/>
      <c r="K7" s="206"/>
    </row>
    <row r="8" spans="1:11" ht="15.75" x14ac:dyDescent="0.3">
      <c r="A8" s="23" t="s">
        <v>230</v>
      </c>
      <c r="B8" s="21">
        <f>Sheet6!C36</f>
        <v>1952.94</v>
      </c>
      <c r="C8" s="16" t="s">
        <v>21</v>
      </c>
      <c r="E8" s="16" t="s">
        <v>181</v>
      </c>
      <c r="F8" s="21">
        <f>IF(PRODUCT(Sheet5!N13:N15)=1,0.001*B9/((C28-C29)/2),"N/A")</f>
        <v>280</v>
      </c>
      <c r="G8" s="16" t="s">
        <v>3</v>
      </c>
      <c r="H8" s="206"/>
      <c r="I8" s="206"/>
      <c r="J8" s="206"/>
      <c r="K8" s="206"/>
    </row>
    <row r="9" spans="1:11" ht="15.75" x14ac:dyDescent="0.3">
      <c r="A9" s="23" t="s">
        <v>231</v>
      </c>
      <c r="B9" s="16">
        <f>Sheet6!C37</f>
        <v>1400</v>
      </c>
      <c r="C9" s="16" t="s">
        <v>21</v>
      </c>
      <c r="E9" s="16" t="s">
        <v>5</v>
      </c>
      <c r="F9" s="21">
        <f>IF(PRODUCT(Sheet5!N13:N15)=1,0.001*B12/C30,"N/A")</f>
        <v>1952.94</v>
      </c>
      <c r="G9" s="16" t="s">
        <v>3</v>
      </c>
      <c r="H9" s="206"/>
      <c r="I9" s="206"/>
      <c r="J9" s="206"/>
      <c r="K9" s="206"/>
    </row>
    <row r="10" spans="1:11" ht="15.75" x14ac:dyDescent="0.3">
      <c r="A10" s="23" t="s">
        <v>232</v>
      </c>
      <c r="B10" s="21">
        <f>Sheet6!C38</f>
        <v>1500</v>
      </c>
      <c r="C10" s="16" t="s">
        <v>21</v>
      </c>
      <c r="E10" s="16" t="s">
        <v>171</v>
      </c>
      <c r="F10" s="27">
        <f>IF(PRODUCT(Sheet5!N13:N15)=1,IF(PRODUCT(B14:B17)&lt;&gt;0,0.001*B19/F28,0.001*B13/F28),"N/A")</f>
        <v>20.066666666666666</v>
      </c>
      <c r="G10" s="16" t="s">
        <v>3</v>
      </c>
      <c r="H10" s="206"/>
      <c r="I10" s="206"/>
      <c r="J10" s="206"/>
      <c r="K10" s="206"/>
    </row>
    <row r="11" spans="1:11" ht="15.75" x14ac:dyDescent="0.3">
      <c r="A11" s="23" t="s">
        <v>279</v>
      </c>
      <c r="B11" s="21">
        <f>C30/MIN(F30,F31)*Sheet6!$C$75+Sheet6!$C$76</f>
        <v>1997.7601382799999</v>
      </c>
      <c r="C11" s="16" t="s">
        <v>21</v>
      </c>
      <c r="E11" s="16" t="s">
        <v>365</v>
      </c>
      <c r="F11" s="24">
        <f>C33/C30</f>
        <v>0</v>
      </c>
      <c r="G11" s="16" t="s">
        <v>20</v>
      </c>
      <c r="H11" s="206"/>
      <c r="I11" s="206"/>
      <c r="J11" s="206"/>
      <c r="K11" s="206"/>
    </row>
    <row r="12" spans="1:11" ht="15.75" x14ac:dyDescent="0.3">
      <c r="A12" s="23" t="s">
        <v>280</v>
      </c>
      <c r="B12" s="21">
        <f>IF(Sheet6!C75*Sheet6!C76&lt;&gt;0,IF(B11&lt;B8,IF(B11&gt;B10,B11,B10),B8),B8)</f>
        <v>1952.94</v>
      </c>
      <c r="C12" s="16" t="s">
        <v>21</v>
      </c>
      <c r="E12" s="23" t="s">
        <v>366</v>
      </c>
      <c r="F12" s="24">
        <f>B21*F11</f>
        <v>0</v>
      </c>
      <c r="H12" s="206"/>
      <c r="I12" s="206"/>
      <c r="J12" s="206"/>
      <c r="K12" s="206"/>
    </row>
    <row r="13" spans="1:11" ht="15.75" x14ac:dyDescent="0.3">
      <c r="A13" s="23" t="s">
        <v>281</v>
      </c>
      <c r="B13" s="21">
        <f>Sheet6!C40</f>
        <v>949.51805212043541</v>
      </c>
      <c r="C13" s="16" t="s">
        <v>21</v>
      </c>
      <c r="E13" s="23" t="s">
        <v>367</v>
      </c>
      <c r="F13" s="24">
        <f>B20*F11</f>
        <v>0</v>
      </c>
      <c r="H13" s="206"/>
      <c r="I13" s="206"/>
      <c r="J13" s="206"/>
      <c r="K13" s="206"/>
    </row>
    <row r="14" spans="1:11" ht="15.75" x14ac:dyDescent="0.3">
      <c r="A14" s="16" t="s">
        <v>271</v>
      </c>
      <c r="B14" s="21">
        <f>Sheet6!C77</f>
        <v>903</v>
      </c>
      <c r="C14" s="16" t="s">
        <v>21</v>
      </c>
      <c r="H14" s="206"/>
      <c r="I14" s="206"/>
      <c r="J14" s="206"/>
      <c r="K14" s="206"/>
    </row>
    <row r="15" spans="1:11" ht="15.75" x14ac:dyDescent="0.3">
      <c r="A15" s="16" t="s">
        <v>272</v>
      </c>
      <c r="B15" s="21">
        <f>Sheet6!C78</f>
        <v>1053</v>
      </c>
      <c r="C15" s="16" t="s">
        <v>21</v>
      </c>
      <c r="E15" s="16" t="s">
        <v>368</v>
      </c>
      <c r="F15" s="26">
        <f>1000000*(F35-C28)</f>
        <v>0</v>
      </c>
      <c r="G15" s="16" t="s">
        <v>106</v>
      </c>
      <c r="H15" s="206"/>
      <c r="I15" s="206"/>
      <c r="J15" s="206"/>
      <c r="K15" s="206"/>
    </row>
    <row r="16" spans="1:11" ht="15.75" x14ac:dyDescent="0.3">
      <c r="A16" s="16" t="s">
        <v>273</v>
      </c>
      <c r="B16" s="27">
        <f>Sheet6!C79</f>
        <v>243.48613686730869</v>
      </c>
      <c r="C16" s="16" t="s">
        <v>21</v>
      </c>
      <c r="E16" s="16" t="s">
        <v>369</v>
      </c>
      <c r="F16" s="26">
        <f>1000000*C30*F13</f>
        <v>0</v>
      </c>
      <c r="G16" s="16" t="s">
        <v>106</v>
      </c>
      <c r="H16" s="206"/>
      <c r="I16" s="206"/>
      <c r="J16" s="206"/>
      <c r="K16" s="206"/>
    </row>
    <row r="17" spans="1:11" ht="15.75" x14ac:dyDescent="0.3">
      <c r="A17" s="16" t="s">
        <v>274</v>
      </c>
      <c r="B17" s="27">
        <f>Sheet6!C80</f>
        <v>850.11350863680707</v>
      </c>
      <c r="C17" s="16" t="s">
        <v>21</v>
      </c>
      <c r="H17" s="206"/>
      <c r="I17" s="206"/>
      <c r="J17" s="206"/>
      <c r="K17" s="206"/>
    </row>
    <row r="18" spans="1:11" ht="15.75" x14ac:dyDescent="0.3">
      <c r="A18" s="23" t="s">
        <v>282</v>
      </c>
      <c r="B18" s="27">
        <f>B16*F29+B17</f>
        <v>877.16752384428582</v>
      </c>
      <c r="C18" s="16" t="s">
        <v>21</v>
      </c>
      <c r="E18" s="16" t="s">
        <v>45</v>
      </c>
      <c r="F18" s="26">
        <f>IF(PRODUCT(Sheet5!N13:N15)=1,(B22*C37)/(2*PI()*(C28-C29)),"N/A")</f>
        <v>0</v>
      </c>
      <c r="G18" s="16" t="s">
        <v>107</v>
      </c>
      <c r="H18" s="206"/>
      <c r="I18" s="206"/>
      <c r="J18" s="206"/>
      <c r="K18" s="206"/>
    </row>
    <row r="19" spans="1:11" ht="15.75" x14ac:dyDescent="0.3">
      <c r="A19" s="23" t="s">
        <v>283</v>
      </c>
      <c r="B19" s="31">
        <f>IF(B18&lt;B15,IF(B18&gt;B14,B18,B14),B15)</f>
        <v>903</v>
      </c>
      <c r="C19" s="16" t="s">
        <v>21</v>
      </c>
      <c r="E19" s="16" t="s">
        <v>44</v>
      </c>
      <c r="F19" s="26">
        <f>IF(PRODUCT(Sheet5!N13:N15)=1,(4*B23*C38*C30)/(PI()*(C28^2-C29^2)),"N/A")</f>
        <v>0</v>
      </c>
      <c r="G19" s="16" t="s">
        <v>107</v>
      </c>
      <c r="H19" s="206"/>
      <c r="I19" s="206"/>
      <c r="J19" s="206"/>
      <c r="K19" s="206"/>
    </row>
    <row r="20" spans="1:11" ht="15.75" x14ac:dyDescent="0.3">
      <c r="A20" s="23" t="s">
        <v>217</v>
      </c>
      <c r="B20" s="24">
        <f>Sheet6!C24</f>
        <v>4.2499999999999998E-10</v>
      </c>
      <c r="C20" s="16" t="s">
        <v>18</v>
      </c>
      <c r="H20" s="206"/>
      <c r="I20" s="206"/>
      <c r="J20" s="206"/>
      <c r="K20" s="206"/>
    </row>
    <row r="21" spans="1:11" ht="15.75" x14ac:dyDescent="0.3">
      <c r="A21" s="23" t="s">
        <v>216</v>
      </c>
      <c r="B21" s="24">
        <f>Sheet6!C23</f>
        <v>-1.6999150000000001E-10</v>
      </c>
      <c r="C21" s="16" t="s">
        <v>18</v>
      </c>
      <c r="H21" s="206"/>
      <c r="I21" s="206"/>
      <c r="J21" s="206"/>
      <c r="K21" s="206"/>
    </row>
    <row r="22" spans="1:11" ht="15.75" x14ac:dyDescent="0.3">
      <c r="A22" s="23" t="s">
        <v>219</v>
      </c>
      <c r="B22" s="29">
        <f>Sheet6!C26</f>
        <v>-1.06645E-2</v>
      </c>
      <c r="C22" s="16" t="s">
        <v>19</v>
      </c>
      <c r="E22" s="29"/>
      <c r="H22" s="206"/>
      <c r="I22" s="206"/>
      <c r="J22" s="206"/>
      <c r="K22" s="206"/>
    </row>
    <row r="23" spans="1:11" ht="15.75" x14ac:dyDescent="0.3">
      <c r="A23" s="23" t="s">
        <v>220</v>
      </c>
      <c r="B23" s="29">
        <f>Sheet6!C27</f>
        <v>2.6662499999999999E-2</v>
      </c>
      <c r="C23" s="16" t="s">
        <v>19</v>
      </c>
      <c r="H23" s="206"/>
      <c r="I23" s="206"/>
      <c r="J23" s="206"/>
      <c r="K23" s="206"/>
    </row>
    <row r="24" spans="1:11" x14ac:dyDescent="0.2">
      <c r="H24" s="206"/>
      <c r="I24" s="206"/>
      <c r="J24" s="206"/>
      <c r="K24" s="206"/>
    </row>
    <row r="25" spans="1:11" x14ac:dyDescent="0.2">
      <c r="H25" s="206"/>
      <c r="I25" s="206"/>
      <c r="J25" s="206"/>
      <c r="K25" s="206"/>
    </row>
    <row r="26" spans="1:11" x14ac:dyDescent="0.2">
      <c r="H26" s="206"/>
      <c r="I26" s="206"/>
      <c r="J26" s="206"/>
      <c r="K26" s="206"/>
    </row>
    <row r="27" spans="1:11" x14ac:dyDescent="0.2">
      <c r="A27" s="16" t="s">
        <v>40</v>
      </c>
      <c r="H27" s="206"/>
      <c r="I27" s="206"/>
      <c r="J27" s="206"/>
      <c r="K27" s="206"/>
    </row>
    <row r="28" spans="1:11" ht="15.75" x14ac:dyDescent="0.3">
      <c r="B28" s="16" t="s">
        <v>284</v>
      </c>
      <c r="C28" s="25">
        <f>'Front page'!D12/1000</f>
        <v>0.05</v>
      </c>
      <c r="D28" s="16" t="s">
        <v>46</v>
      </c>
      <c r="E28" s="16" t="s">
        <v>285</v>
      </c>
      <c r="F28" s="25">
        <f>AVERAGE(C28,C29)</f>
        <v>4.4999999999999998E-2</v>
      </c>
      <c r="G28" s="16" t="s">
        <v>46</v>
      </c>
      <c r="H28" s="207"/>
      <c r="I28" s="206"/>
      <c r="J28" s="206"/>
      <c r="K28" s="206"/>
    </row>
    <row r="29" spans="1:11" ht="18" x14ac:dyDescent="0.35">
      <c r="B29" s="16" t="s">
        <v>286</v>
      </c>
      <c r="C29" s="25">
        <f>'Front page'!D13/1000</f>
        <v>0.04</v>
      </c>
      <c r="D29" s="16" t="s">
        <v>46</v>
      </c>
      <c r="E29" s="33" t="s">
        <v>287</v>
      </c>
      <c r="F29" s="29">
        <f>C28/F28-1</f>
        <v>0.11111111111111116</v>
      </c>
      <c r="H29" s="206"/>
      <c r="I29" s="206"/>
      <c r="J29" s="206"/>
      <c r="K29" s="206"/>
    </row>
    <row r="30" spans="1:11" ht="15.75" x14ac:dyDescent="0.3">
      <c r="B30" s="23" t="s">
        <v>169</v>
      </c>
      <c r="C30" s="25">
        <f>'Front page'!D14/1000</f>
        <v>1E-3</v>
      </c>
      <c r="D30" s="16" t="s">
        <v>46</v>
      </c>
      <c r="E30" s="16" t="s">
        <v>288</v>
      </c>
      <c r="F30" s="25">
        <f>F28*PI()</f>
        <v>0.1413716694115407</v>
      </c>
      <c r="G30" s="16" t="s">
        <v>46</v>
      </c>
      <c r="H30" s="206"/>
      <c r="I30" s="206"/>
      <c r="J30" s="206"/>
      <c r="K30" s="206"/>
    </row>
    <row r="31" spans="1:11" ht="15.75" x14ac:dyDescent="0.3">
      <c r="E31" s="23" t="s">
        <v>289</v>
      </c>
      <c r="F31" s="25">
        <f>(C28-C29)/2</f>
        <v>5.000000000000001E-3</v>
      </c>
      <c r="G31" s="16" t="s">
        <v>46</v>
      </c>
      <c r="H31" s="206"/>
      <c r="I31" s="206"/>
      <c r="J31" s="206"/>
      <c r="K31" s="206"/>
    </row>
    <row r="32" spans="1:11" x14ac:dyDescent="0.2">
      <c r="A32" s="16" t="s">
        <v>41</v>
      </c>
      <c r="H32" s="206"/>
      <c r="I32" s="206"/>
      <c r="J32" s="206"/>
      <c r="K32" s="206"/>
    </row>
    <row r="33" spans="1:11" ht="15.75" x14ac:dyDescent="0.3">
      <c r="B33" s="16" t="s">
        <v>38</v>
      </c>
      <c r="C33" s="16">
        <f>'Front page'!D26</f>
        <v>0</v>
      </c>
      <c r="D33" s="16" t="s">
        <v>107</v>
      </c>
      <c r="E33" s="16" t="s">
        <v>370</v>
      </c>
      <c r="F33" s="25">
        <f>F30*(1+F12)</f>
        <v>0.1413716694115407</v>
      </c>
      <c r="G33" s="16" t="s">
        <v>46</v>
      </c>
      <c r="H33" s="206"/>
      <c r="I33" s="206"/>
      <c r="J33" s="206"/>
      <c r="K33" s="206"/>
    </row>
    <row r="34" spans="1:11" ht="15.75" x14ac:dyDescent="0.3">
      <c r="E34" s="23" t="s">
        <v>371</v>
      </c>
      <c r="F34" s="208">
        <f>F31*(1+F12)</f>
        <v>5.000000000000001E-3</v>
      </c>
      <c r="G34" s="16" t="s">
        <v>46</v>
      </c>
      <c r="H34" s="206"/>
      <c r="I34" s="206"/>
      <c r="J34" s="206"/>
      <c r="K34" s="206"/>
    </row>
    <row r="35" spans="1:11" ht="15.75" x14ac:dyDescent="0.3">
      <c r="E35" s="23" t="s">
        <v>372</v>
      </c>
      <c r="F35" s="208">
        <f>F33/PI()+F34</f>
        <v>0.05</v>
      </c>
      <c r="G35" s="16" t="s">
        <v>46</v>
      </c>
      <c r="H35" s="206"/>
      <c r="I35" s="206"/>
      <c r="J35" s="206"/>
      <c r="K35" s="206"/>
    </row>
    <row r="36" spans="1:11" x14ac:dyDescent="0.2">
      <c r="A36" s="16" t="s">
        <v>39</v>
      </c>
      <c r="H36" s="206"/>
      <c r="I36" s="206"/>
      <c r="J36" s="206"/>
      <c r="K36" s="206"/>
    </row>
    <row r="37" spans="1:11" x14ac:dyDescent="0.2">
      <c r="B37" s="16" t="s">
        <v>164</v>
      </c>
      <c r="C37" s="16">
        <f>'Front page'!D33</f>
        <v>0</v>
      </c>
      <c r="D37" s="16" t="s">
        <v>108</v>
      </c>
      <c r="H37" s="206"/>
      <c r="I37" s="206"/>
      <c r="J37" s="206"/>
      <c r="K37" s="206"/>
    </row>
    <row r="38" spans="1:11" x14ac:dyDescent="0.2">
      <c r="B38" s="16" t="s">
        <v>165</v>
      </c>
      <c r="C38" s="16">
        <f>'Front page'!D34</f>
        <v>0</v>
      </c>
      <c r="D38" s="16" t="s">
        <v>108</v>
      </c>
      <c r="H38" s="206"/>
      <c r="I38" s="206"/>
      <c r="J38" s="206"/>
      <c r="K38" s="206"/>
    </row>
    <row r="39" spans="1:11" x14ac:dyDescent="0.2">
      <c r="A39" s="206"/>
      <c r="B39" s="206"/>
      <c r="C39" s="206"/>
      <c r="D39" s="206"/>
      <c r="E39" s="206"/>
      <c r="F39" s="206"/>
      <c r="G39" s="206"/>
      <c r="H39" s="206"/>
      <c r="I39" s="206"/>
      <c r="J39" s="206"/>
      <c r="K39" s="206"/>
    </row>
  </sheetData>
  <sheetProtection algorithmName="SHA-512" hashValue="xGK61wy5DDhITprtHxuMCZtSi8s6yDc92B08+RJ/CaF1WaAFmG6UYJWXFQ8xDT4RjafoOPGMEdU32zT7fvSdTw==" saltValue="tZgZga0kTWg5IIt7gE2eHA==" spinCount="100000" sheet="1" objects="1" scenarios="1" selectLockedCells="1" selectUnlockedCells="1"/>
  <phoneticPr fontId="0" type="noConversion"/>
  <pageMargins left="0.75" right="0.75" top="1" bottom="1" header="0.5" footer="0.5"/>
  <headerFooter alignWithMargins="0"/>
  <ignoredErrors>
    <ignoredError sqref="F33:F34" emptyCellReferenc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6"/>
  <dimension ref="A1:K42"/>
  <sheetViews>
    <sheetView workbookViewId="0">
      <selection activeCell="H1" sqref="H1"/>
    </sheetView>
  </sheetViews>
  <sheetFormatPr defaultRowHeight="12.75" x14ac:dyDescent="0.2"/>
  <cols>
    <col min="1" max="1" width="11.7109375" customWidth="1"/>
    <col min="2" max="2" width="20.7109375" customWidth="1"/>
    <col min="4" max="4" width="4.28515625" customWidth="1"/>
    <col min="5" max="5" width="24.7109375" customWidth="1"/>
    <col min="6" max="6" width="9.7109375" customWidth="1"/>
  </cols>
  <sheetData>
    <row r="1" spans="1:11" x14ac:dyDescent="0.2">
      <c r="A1" s="16" t="s">
        <v>1</v>
      </c>
      <c r="B1" s="16"/>
      <c r="C1" s="16"/>
      <c r="D1" s="16"/>
      <c r="E1" s="16"/>
      <c r="F1" s="16"/>
      <c r="G1" s="16"/>
      <c r="H1" s="206"/>
      <c r="I1" s="206"/>
      <c r="J1" s="206"/>
      <c r="K1" s="206"/>
    </row>
    <row r="2" spans="1:11" x14ac:dyDescent="0.2">
      <c r="A2" s="16" t="s">
        <v>50</v>
      </c>
      <c r="B2" s="16"/>
      <c r="C2" s="16">
        <v>3</v>
      </c>
      <c r="D2" s="16"/>
      <c r="E2" s="16"/>
      <c r="F2" s="16"/>
      <c r="G2" s="16"/>
      <c r="H2" s="206"/>
      <c r="I2" s="206"/>
      <c r="J2" s="206"/>
      <c r="K2" s="206"/>
    </row>
    <row r="3" spans="1:11" x14ac:dyDescent="0.2">
      <c r="A3" s="16"/>
      <c r="B3" s="16"/>
      <c r="C3" s="16"/>
      <c r="D3" s="16"/>
      <c r="E3" s="16"/>
      <c r="F3" s="16"/>
      <c r="G3" s="16"/>
      <c r="H3" s="206"/>
      <c r="I3" s="206"/>
      <c r="J3" s="206"/>
      <c r="K3" s="206"/>
    </row>
    <row r="4" spans="1:11" x14ac:dyDescent="0.2">
      <c r="A4" s="16"/>
      <c r="B4" s="16"/>
      <c r="C4" s="16"/>
      <c r="D4" s="16"/>
      <c r="E4" s="16"/>
      <c r="F4" s="21"/>
      <c r="G4" s="16"/>
      <c r="H4" s="206"/>
      <c r="I4" s="206"/>
      <c r="J4" s="206"/>
      <c r="K4" s="206"/>
    </row>
    <row r="5" spans="1:11" x14ac:dyDescent="0.2">
      <c r="A5" s="16" t="s">
        <v>34</v>
      </c>
      <c r="B5" s="16"/>
      <c r="C5" s="16"/>
      <c r="D5" s="16"/>
      <c r="E5" s="16" t="s">
        <v>35</v>
      </c>
      <c r="F5" s="16"/>
      <c r="G5" s="16"/>
      <c r="H5" s="206"/>
      <c r="I5" s="206"/>
      <c r="J5" s="206"/>
      <c r="K5" s="206"/>
    </row>
    <row r="6" spans="1:11" ht="15.75" x14ac:dyDescent="0.3">
      <c r="A6" s="16" t="s">
        <v>205</v>
      </c>
      <c r="B6" s="21">
        <f>Sheet6!C12</f>
        <v>1795.99</v>
      </c>
      <c r="C6" s="16"/>
      <c r="D6" s="16"/>
      <c r="E6" s="16"/>
      <c r="F6" s="21"/>
      <c r="G6" s="16"/>
      <c r="H6" s="206"/>
      <c r="I6" s="206"/>
      <c r="J6" s="206"/>
      <c r="K6" s="206"/>
    </row>
    <row r="7" spans="1:11" ht="15.75" x14ac:dyDescent="0.3">
      <c r="A7" s="16" t="s">
        <v>206</v>
      </c>
      <c r="B7" s="21">
        <f>Sheet6!C13</f>
        <v>1802.77</v>
      </c>
      <c r="C7" s="16"/>
      <c r="D7" s="16"/>
      <c r="E7" s="16" t="s">
        <v>98</v>
      </c>
      <c r="F7" s="21">
        <f>IF(PRODUCT(Sheet5!N13:N15)=1,1000000000000*((2*B7*Sheet6!C72*PI()*C30)/(LN(C28/C29))),"N/A")</f>
        <v>449.45312845628695</v>
      </c>
      <c r="G7" s="16" t="s">
        <v>2</v>
      </c>
      <c r="H7" s="206"/>
      <c r="I7" s="206"/>
      <c r="J7" s="206"/>
      <c r="K7" s="206"/>
    </row>
    <row r="8" spans="1:11" ht="15.75" x14ac:dyDescent="0.3">
      <c r="A8" s="23" t="s">
        <v>230</v>
      </c>
      <c r="B8" s="21">
        <f>Sheet6!C36</f>
        <v>1952.94</v>
      </c>
      <c r="C8" s="16" t="s">
        <v>21</v>
      </c>
      <c r="D8" s="16"/>
      <c r="E8" s="16" t="s">
        <v>181</v>
      </c>
      <c r="F8" s="21">
        <f>IF(PRODUCT(Sheet5!N13:N15)=1,0.001*B12/F30,"N/A")</f>
        <v>299.99999999999994</v>
      </c>
      <c r="G8" s="16" t="s">
        <v>3</v>
      </c>
      <c r="H8" s="206"/>
      <c r="I8" s="206"/>
      <c r="J8" s="206"/>
      <c r="K8" s="206"/>
    </row>
    <row r="9" spans="1:11" ht="15.75" x14ac:dyDescent="0.3">
      <c r="A9" s="23" t="s">
        <v>231</v>
      </c>
      <c r="B9" s="21">
        <f>Sheet6!C37</f>
        <v>1400</v>
      </c>
      <c r="C9" s="16" t="s">
        <v>21</v>
      </c>
      <c r="D9" s="16"/>
      <c r="E9" s="16" t="s">
        <v>49</v>
      </c>
      <c r="F9" s="21">
        <f>IF(C30&gt;0,0.001*B9/C30,"N/A")</f>
        <v>1400</v>
      </c>
      <c r="G9" s="16" t="s">
        <v>3</v>
      </c>
      <c r="H9" s="206"/>
      <c r="I9" s="206"/>
      <c r="J9" s="206"/>
      <c r="K9" s="206"/>
    </row>
    <row r="10" spans="1:11" ht="15.75" x14ac:dyDescent="0.3">
      <c r="A10" s="23" t="s">
        <v>232</v>
      </c>
      <c r="B10" s="21">
        <f>Sheet6!C38</f>
        <v>1500</v>
      </c>
      <c r="C10" s="16" t="s">
        <v>21</v>
      </c>
      <c r="D10" s="16"/>
      <c r="E10" s="16" t="s">
        <v>171</v>
      </c>
      <c r="F10" s="27">
        <f>IF(PRODUCT(B14:B17)&lt;&gt;0,0.001*B19/F28,0.001*B13/F28)</f>
        <v>19.587430370003506</v>
      </c>
      <c r="G10" s="16" t="s">
        <v>3</v>
      </c>
      <c r="H10" s="206"/>
      <c r="I10" s="206"/>
      <c r="J10" s="206"/>
      <c r="K10" s="206"/>
    </row>
    <row r="11" spans="1:11" ht="15.75" x14ac:dyDescent="0.3">
      <c r="A11" s="23" t="s">
        <v>279</v>
      </c>
      <c r="B11" s="21">
        <f>F30/MIN(C30,F29)*Sheet6!$C$75+Sheet6!$C$76</f>
        <v>428.45618499999955</v>
      </c>
      <c r="C11" s="16" t="s">
        <v>21</v>
      </c>
      <c r="D11" s="16"/>
      <c r="E11" s="16" t="s">
        <v>365</v>
      </c>
      <c r="F11" s="24">
        <f>2*C33/(C28-C29)</f>
        <v>0</v>
      </c>
      <c r="G11" s="16" t="s">
        <v>20</v>
      </c>
      <c r="H11" s="206"/>
      <c r="I11" s="206"/>
      <c r="J11" s="206"/>
      <c r="K11" s="206"/>
    </row>
    <row r="12" spans="1:11" ht="15.75" x14ac:dyDescent="0.3">
      <c r="A12" s="23" t="s">
        <v>280</v>
      </c>
      <c r="B12" s="21">
        <f>IF(Sheet6!C75*Sheet6!C76&lt;&gt;0,IF(B11&lt;B8,IF(B11&gt;B10,B11,B10),B8),B8)</f>
        <v>1500</v>
      </c>
      <c r="C12" s="16" t="s">
        <v>21</v>
      </c>
      <c r="D12" s="16"/>
      <c r="E12" s="23" t="s">
        <v>366</v>
      </c>
      <c r="F12" s="24">
        <f>B21*F11</f>
        <v>0</v>
      </c>
      <c r="G12" s="16"/>
      <c r="H12" s="206"/>
      <c r="I12" s="206"/>
      <c r="J12" s="206"/>
      <c r="K12" s="206"/>
    </row>
    <row r="13" spans="1:11" ht="15.75" x14ac:dyDescent="0.3">
      <c r="A13" s="23" t="s">
        <v>290</v>
      </c>
      <c r="B13" s="21">
        <f>Sheet6!C41</f>
        <v>884.01698190000002</v>
      </c>
      <c r="C13" s="16" t="s">
        <v>21</v>
      </c>
      <c r="D13" s="16"/>
      <c r="E13" s="23" t="s">
        <v>367</v>
      </c>
      <c r="F13" s="24">
        <f>B20*F11</f>
        <v>0</v>
      </c>
      <c r="G13" s="16"/>
      <c r="H13" s="206"/>
      <c r="I13" s="206"/>
      <c r="J13" s="206"/>
      <c r="K13" s="206"/>
    </row>
    <row r="14" spans="1:11" ht="15.75" x14ac:dyDescent="0.3">
      <c r="A14" s="16" t="s">
        <v>275</v>
      </c>
      <c r="B14" s="21">
        <f>Sheet6!C81</f>
        <v>867</v>
      </c>
      <c r="C14" s="16" t="s">
        <v>21</v>
      </c>
      <c r="D14" s="16"/>
      <c r="E14" s="16"/>
      <c r="F14" s="16"/>
      <c r="G14" s="16"/>
      <c r="H14" s="206"/>
      <c r="I14" s="206"/>
      <c r="J14" s="206"/>
      <c r="K14" s="206"/>
    </row>
    <row r="15" spans="1:11" ht="15.75" x14ac:dyDescent="0.3">
      <c r="A15" s="16" t="s">
        <v>276</v>
      </c>
      <c r="B15" s="21">
        <f>Sheet6!C82</f>
        <v>913</v>
      </c>
      <c r="C15" s="16" t="s">
        <v>21</v>
      </c>
      <c r="D15" s="16"/>
      <c r="E15" s="16" t="s">
        <v>368</v>
      </c>
      <c r="F15" s="209">
        <f>1000000*(F35-C28)</f>
        <v>0</v>
      </c>
      <c r="G15" s="16" t="s">
        <v>106</v>
      </c>
      <c r="H15" s="206"/>
      <c r="I15" s="206"/>
      <c r="J15" s="206"/>
      <c r="K15" s="206"/>
    </row>
    <row r="16" spans="1:11" ht="15.75" x14ac:dyDescent="0.3">
      <c r="A16" s="16" t="s">
        <v>277</v>
      </c>
      <c r="B16" s="21">
        <f>Sheet6!C83</f>
        <v>198.13959069179825</v>
      </c>
      <c r="C16" s="16" t="s">
        <v>21</v>
      </c>
      <c r="D16" s="16"/>
      <c r="E16" s="16" t="s">
        <v>373</v>
      </c>
      <c r="F16" s="34">
        <f>IF(PRODUCT(Sheet5!N13:N15)=1,1000000*(2*B21*C33*C30)/(C28-C29),"N/A")</f>
        <v>0</v>
      </c>
      <c r="G16" s="16" t="s">
        <v>106</v>
      </c>
      <c r="H16" s="206"/>
      <c r="I16" s="206"/>
      <c r="J16" s="206"/>
      <c r="K16" s="206"/>
    </row>
    <row r="17" spans="1:11" ht="15.75" x14ac:dyDescent="0.3">
      <c r="A17" s="16" t="s">
        <v>278</v>
      </c>
      <c r="B17" s="21">
        <f>Sheet6!C84</f>
        <v>859.41885657329124</v>
      </c>
      <c r="C17" s="16" t="s">
        <v>21</v>
      </c>
      <c r="D17" s="16"/>
      <c r="E17" s="16"/>
      <c r="F17" s="16"/>
      <c r="G17" s="16"/>
      <c r="H17" s="206"/>
      <c r="I17" s="206"/>
      <c r="J17" s="206"/>
      <c r="K17" s="206"/>
    </row>
    <row r="18" spans="1:11" ht="15.75" x14ac:dyDescent="0.3">
      <c r="A18" s="23" t="s">
        <v>291</v>
      </c>
      <c r="B18" s="27">
        <f>B16*F31+B17</f>
        <v>881.4343666501577</v>
      </c>
      <c r="C18" s="16" t="s">
        <v>21</v>
      </c>
      <c r="D18" s="16"/>
      <c r="E18" s="16" t="s">
        <v>45</v>
      </c>
      <c r="F18" s="26">
        <f>IF(PRODUCT(Sheet5!N13:N15)=1,(B22*C37*(C28-C29))/(2*(C28^2-C29^2)),"N/A")</f>
        <v>0</v>
      </c>
      <c r="G18" s="16" t="s">
        <v>107</v>
      </c>
      <c r="H18" s="206"/>
      <c r="I18" s="206"/>
      <c r="J18" s="206"/>
      <c r="K18" s="206"/>
    </row>
    <row r="19" spans="1:11" ht="15.75" x14ac:dyDescent="0.3">
      <c r="A19" s="23" t="s">
        <v>292</v>
      </c>
      <c r="B19" s="31">
        <f>IF(B18&lt;B15,IF(B18&gt;B14,B18,B14),B15)</f>
        <v>881.4343666501577</v>
      </c>
      <c r="C19" s="16" t="s">
        <v>21</v>
      </c>
      <c r="D19" s="16"/>
      <c r="E19" s="16" t="s">
        <v>44</v>
      </c>
      <c r="F19" s="26">
        <f>IF(PRODUCT(Sheet5!N13:N15)=1,(B23*C38*(C28-C29))/(2*(C28^2-C29^2)),"N/A")</f>
        <v>0</v>
      </c>
      <c r="G19" s="16" t="s">
        <v>107</v>
      </c>
      <c r="H19" s="206"/>
      <c r="I19" s="206"/>
      <c r="J19" s="206"/>
      <c r="K19" s="206"/>
    </row>
    <row r="20" spans="1:11" ht="15.75" x14ac:dyDescent="0.3">
      <c r="A20" s="23" t="s">
        <v>217</v>
      </c>
      <c r="B20" s="24">
        <f>Sheet6!C24</f>
        <v>4.2499999999999998E-10</v>
      </c>
      <c r="C20" s="16" t="s">
        <v>18</v>
      </c>
      <c r="D20" s="16"/>
      <c r="E20" s="16"/>
      <c r="F20" s="16"/>
      <c r="G20" s="16"/>
      <c r="H20" s="206"/>
      <c r="I20" s="206"/>
      <c r="J20" s="206"/>
      <c r="K20" s="206"/>
    </row>
    <row r="21" spans="1:11" ht="15.75" x14ac:dyDescent="0.3">
      <c r="A21" s="23" t="s">
        <v>216</v>
      </c>
      <c r="B21" s="24">
        <f>Sheet6!C23</f>
        <v>-1.6999150000000001E-10</v>
      </c>
      <c r="C21" s="16" t="s">
        <v>18</v>
      </c>
      <c r="D21" s="16"/>
      <c r="E21" s="16"/>
      <c r="F21" s="16"/>
      <c r="G21" s="16"/>
      <c r="H21" s="206"/>
      <c r="I21" s="206"/>
      <c r="J21" s="206"/>
      <c r="K21" s="206"/>
    </row>
    <row r="22" spans="1:11" ht="15.75" x14ac:dyDescent="0.3">
      <c r="A22" s="23" t="s">
        <v>219</v>
      </c>
      <c r="B22" s="29">
        <f>Sheet6!C26</f>
        <v>-1.06645E-2</v>
      </c>
      <c r="C22" s="16" t="s">
        <v>19</v>
      </c>
      <c r="D22" s="16"/>
      <c r="E22" s="16"/>
      <c r="F22" s="16"/>
      <c r="G22" s="16"/>
      <c r="H22" s="206"/>
      <c r="I22" s="206"/>
      <c r="J22" s="206"/>
      <c r="K22" s="206"/>
    </row>
    <row r="23" spans="1:11" ht="15.75" x14ac:dyDescent="0.3">
      <c r="A23" s="23" t="s">
        <v>220</v>
      </c>
      <c r="B23" s="29">
        <f>Sheet6!C27</f>
        <v>2.6662499999999999E-2</v>
      </c>
      <c r="C23" s="16" t="s">
        <v>19</v>
      </c>
      <c r="D23" s="16"/>
      <c r="E23" s="16"/>
      <c r="F23" s="16"/>
      <c r="G23" s="26"/>
      <c r="H23" s="206"/>
      <c r="I23" s="206"/>
      <c r="J23" s="206"/>
      <c r="K23" s="206"/>
    </row>
    <row r="24" spans="1:11" x14ac:dyDescent="0.2">
      <c r="A24" s="16"/>
      <c r="B24" s="16"/>
      <c r="C24" s="16"/>
      <c r="D24" s="16"/>
      <c r="E24" s="16"/>
      <c r="F24" s="16"/>
      <c r="G24" s="26"/>
      <c r="H24" s="206"/>
      <c r="I24" s="206"/>
      <c r="J24" s="206"/>
      <c r="K24" s="206"/>
    </row>
    <row r="25" spans="1:11" x14ac:dyDescent="0.2">
      <c r="A25" s="16"/>
      <c r="B25" s="16"/>
      <c r="C25" s="16"/>
      <c r="D25" s="16"/>
      <c r="E25" s="16"/>
      <c r="F25" s="16"/>
      <c r="G25" s="16"/>
      <c r="H25" s="206"/>
      <c r="I25" s="206"/>
      <c r="J25" s="206"/>
      <c r="K25" s="206"/>
    </row>
    <row r="26" spans="1:11" x14ac:dyDescent="0.2">
      <c r="A26" s="16"/>
      <c r="B26" s="16"/>
      <c r="C26" s="16"/>
      <c r="D26" s="16"/>
      <c r="E26" s="16"/>
      <c r="F26" s="16"/>
      <c r="G26" s="16"/>
      <c r="H26" s="206"/>
      <c r="I26" s="206"/>
      <c r="J26" s="206"/>
      <c r="K26" s="206"/>
    </row>
    <row r="27" spans="1:11" x14ac:dyDescent="0.2">
      <c r="A27" s="16" t="s">
        <v>40</v>
      </c>
      <c r="B27" s="16"/>
      <c r="C27" s="16"/>
      <c r="D27" s="16"/>
      <c r="E27" s="16"/>
      <c r="F27" s="16"/>
      <c r="G27" s="16"/>
      <c r="H27" s="206"/>
      <c r="I27" s="206"/>
      <c r="J27" s="206"/>
      <c r="K27" s="206"/>
    </row>
    <row r="28" spans="1:11" ht="15.75" x14ac:dyDescent="0.3">
      <c r="A28" s="16"/>
      <c r="B28" s="16" t="s">
        <v>284</v>
      </c>
      <c r="C28" s="25">
        <f>'Front page'!D12/1000</f>
        <v>0.05</v>
      </c>
      <c r="D28" s="16" t="s">
        <v>46</v>
      </c>
      <c r="E28" s="16" t="s">
        <v>285</v>
      </c>
      <c r="F28" s="25">
        <f>AVERAGE(C28,C29)</f>
        <v>4.4999999999999998E-2</v>
      </c>
      <c r="G28" s="16" t="s">
        <v>46</v>
      </c>
      <c r="H28" s="206"/>
      <c r="I28" s="206"/>
      <c r="J28" s="206"/>
      <c r="K28" s="206"/>
    </row>
    <row r="29" spans="1:11" ht="15.75" x14ac:dyDescent="0.3">
      <c r="A29" s="16"/>
      <c r="B29" s="16" t="s">
        <v>286</v>
      </c>
      <c r="C29" s="25">
        <f>'Front page'!D13/1000</f>
        <v>0.04</v>
      </c>
      <c r="D29" s="16" t="s">
        <v>46</v>
      </c>
      <c r="E29" s="16" t="s">
        <v>288</v>
      </c>
      <c r="F29" s="25">
        <f>F28*PI()</f>
        <v>0.1413716694115407</v>
      </c>
      <c r="G29" s="16" t="s">
        <v>46</v>
      </c>
      <c r="H29" s="206"/>
      <c r="I29" s="206"/>
      <c r="J29" s="206"/>
      <c r="K29" s="206"/>
    </row>
    <row r="30" spans="1:11" ht="15.75" x14ac:dyDescent="0.3">
      <c r="A30" s="16"/>
      <c r="B30" s="23" t="s">
        <v>177</v>
      </c>
      <c r="C30" s="25">
        <f>'Front page'!D14/1000</f>
        <v>1E-3</v>
      </c>
      <c r="D30" s="16" t="s">
        <v>46</v>
      </c>
      <c r="E30" s="23" t="s">
        <v>289</v>
      </c>
      <c r="F30" s="25">
        <f>(C28-C29)/2</f>
        <v>5.000000000000001E-3</v>
      </c>
      <c r="G30" s="16" t="s">
        <v>46</v>
      </c>
      <c r="H30" s="206"/>
      <c r="I30" s="206"/>
      <c r="J30" s="206"/>
      <c r="K30" s="206"/>
    </row>
    <row r="31" spans="1:11" ht="15.75" x14ac:dyDescent="0.3">
      <c r="A31" s="16"/>
      <c r="B31" s="16"/>
      <c r="C31" s="16"/>
      <c r="D31" s="16"/>
      <c r="E31" s="23" t="s">
        <v>293</v>
      </c>
      <c r="F31" s="25">
        <f>F30/F28</f>
        <v>0.11111111111111113</v>
      </c>
      <c r="G31" s="16"/>
      <c r="H31" s="206"/>
      <c r="I31" s="206"/>
      <c r="J31" s="206"/>
      <c r="K31" s="206"/>
    </row>
    <row r="32" spans="1:11" x14ac:dyDescent="0.2">
      <c r="A32" s="16" t="s">
        <v>41</v>
      </c>
      <c r="B32" s="16"/>
      <c r="C32" s="16"/>
      <c r="D32" s="16"/>
      <c r="E32" s="16"/>
      <c r="F32" s="16"/>
      <c r="G32" s="16"/>
      <c r="H32" s="206"/>
      <c r="I32" s="206"/>
      <c r="J32" s="206"/>
      <c r="K32" s="206"/>
    </row>
    <row r="33" spans="1:11" ht="15.75" x14ac:dyDescent="0.3">
      <c r="A33" s="16"/>
      <c r="B33" s="16" t="s">
        <v>38</v>
      </c>
      <c r="C33" s="16">
        <f>'Front page'!D26</f>
        <v>0</v>
      </c>
      <c r="D33" s="16" t="s">
        <v>107</v>
      </c>
      <c r="E33" s="16" t="s">
        <v>370</v>
      </c>
      <c r="F33" s="25">
        <f>F29*(1+F12)</f>
        <v>0.1413716694115407</v>
      </c>
      <c r="G33" s="16" t="s">
        <v>46</v>
      </c>
      <c r="H33" s="206"/>
      <c r="I33" s="206"/>
      <c r="J33" s="206"/>
      <c r="K33" s="206"/>
    </row>
    <row r="34" spans="1:11" ht="15.75" x14ac:dyDescent="0.3">
      <c r="A34" s="16"/>
      <c r="B34" s="16"/>
      <c r="C34" s="16"/>
      <c r="D34" s="16"/>
      <c r="E34" s="23" t="s">
        <v>371</v>
      </c>
      <c r="F34" s="210">
        <f>F30*(1+F13)</f>
        <v>5.000000000000001E-3</v>
      </c>
      <c r="G34" s="16" t="s">
        <v>46</v>
      </c>
      <c r="H34" s="206"/>
      <c r="I34" s="206"/>
      <c r="J34" s="206"/>
      <c r="K34" s="206"/>
    </row>
    <row r="35" spans="1:11" ht="15.75" x14ac:dyDescent="0.3">
      <c r="A35" s="16"/>
      <c r="B35" s="16"/>
      <c r="C35" s="16"/>
      <c r="D35" s="16"/>
      <c r="E35" s="23" t="s">
        <v>372</v>
      </c>
      <c r="F35" s="16">
        <f>F33/PI()+F34</f>
        <v>0.05</v>
      </c>
      <c r="G35" s="16" t="s">
        <v>46</v>
      </c>
      <c r="H35" s="206"/>
      <c r="I35" s="206"/>
      <c r="J35" s="206"/>
      <c r="K35" s="206"/>
    </row>
    <row r="36" spans="1:11" x14ac:dyDescent="0.2">
      <c r="A36" s="16" t="s">
        <v>39</v>
      </c>
      <c r="B36" s="16"/>
      <c r="C36" s="16"/>
      <c r="D36" s="16"/>
      <c r="E36" s="16"/>
      <c r="F36" s="16"/>
      <c r="G36" s="16"/>
      <c r="H36" s="206"/>
      <c r="I36" s="206"/>
      <c r="J36" s="206"/>
      <c r="K36" s="206"/>
    </row>
    <row r="37" spans="1:11" x14ac:dyDescent="0.2">
      <c r="A37" s="16"/>
      <c r="B37" s="16" t="s">
        <v>164</v>
      </c>
      <c r="C37" s="16">
        <f>'Front page'!D33</f>
        <v>0</v>
      </c>
      <c r="D37" s="16" t="s">
        <v>108</v>
      </c>
      <c r="E37" s="16"/>
      <c r="F37" s="16"/>
      <c r="G37" s="16"/>
      <c r="H37" s="206"/>
      <c r="I37" s="206"/>
      <c r="J37" s="206"/>
      <c r="K37" s="206"/>
    </row>
    <row r="38" spans="1:11" x14ac:dyDescent="0.2">
      <c r="A38" s="16"/>
      <c r="B38" s="16" t="s">
        <v>165</v>
      </c>
      <c r="C38" s="16">
        <f>'Front page'!D34</f>
        <v>0</v>
      </c>
      <c r="D38" s="16" t="s">
        <v>108</v>
      </c>
      <c r="E38" s="16"/>
      <c r="F38" s="16"/>
      <c r="G38" s="16"/>
      <c r="H38" s="206"/>
      <c r="I38" s="206"/>
      <c r="J38" s="206"/>
      <c r="K38" s="206"/>
    </row>
    <row r="39" spans="1:11" x14ac:dyDescent="0.2">
      <c r="A39" s="206"/>
      <c r="B39" s="206"/>
      <c r="C39" s="206"/>
      <c r="D39" s="206"/>
      <c r="E39" s="206"/>
      <c r="F39" s="206"/>
      <c r="G39" s="206"/>
      <c r="H39" s="206"/>
      <c r="I39" s="206"/>
      <c r="J39" s="206"/>
      <c r="K39" s="206"/>
    </row>
    <row r="40" spans="1:11" x14ac:dyDescent="0.2">
      <c r="A40" s="206"/>
      <c r="B40" s="206"/>
      <c r="C40" s="206"/>
      <c r="D40" s="206"/>
      <c r="E40" s="206"/>
      <c r="F40" s="206"/>
      <c r="G40" s="206"/>
      <c r="H40" s="206"/>
      <c r="I40" s="206"/>
      <c r="J40" s="206"/>
      <c r="K40" s="206"/>
    </row>
    <row r="41" spans="1:11" x14ac:dyDescent="0.2">
      <c r="A41" s="206"/>
      <c r="B41" s="206"/>
      <c r="C41" s="206"/>
      <c r="D41" s="206"/>
      <c r="E41" s="206"/>
      <c r="F41" s="206"/>
      <c r="G41" s="206"/>
      <c r="H41" s="206"/>
      <c r="I41" s="206"/>
      <c r="J41" s="206"/>
      <c r="K41" s="206"/>
    </row>
    <row r="42" spans="1:11" x14ac:dyDescent="0.2">
      <c r="A42" s="206"/>
      <c r="B42" s="206"/>
      <c r="C42" s="206"/>
      <c r="D42" s="206"/>
      <c r="E42" s="206"/>
      <c r="F42" s="206"/>
      <c r="G42" s="206"/>
      <c r="H42" s="206"/>
      <c r="I42" s="206"/>
      <c r="J42" s="206"/>
      <c r="K42" s="206"/>
    </row>
  </sheetData>
  <sheetProtection algorithmName="SHA-512" hashValue="gHhLW2SrcfzN83P/TbL8Gc/hofsWRYG7MzK5dtT2uGgDO1EOw5NUWIhyNewxUCpz4HxVnFqwDjg0ps+ejLI9BA==" saltValue="JOfpv1WBE62as5X3yuVwow==" spinCount="100000" sheet="1" objects="1" scenarios="1" selectLockedCells="1" selectUnlockedCells="1"/>
  <phoneticPr fontId="0" type="noConversion"/>
  <pageMargins left="0.75" right="0.75" top="1" bottom="1" header="0.5" footer="0.5"/>
  <pageSetup paperSize="9" orientation="portrait" horizontalDpi="300" verticalDpi="300" copies="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F62E549DA7A644AAE85969E8D3938B8" ma:contentTypeVersion="15" ma:contentTypeDescription="Create a new document." ma:contentTypeScope="" ma:versionID="6af8ef28359fd55573c6e15c40b1f80a">
  <xsd:schema xmlns:xsd="http://www.w3.org/2001/XMLSchema" xmlns:xs="http://www.w3.org/2001/XMLSchema" xmlns:p="http://schemas.microsoft.com/office/2006/metadata/properties" xmlns:ns3="da11d761-fa28-4f20-9a48-a1b62f739678" xmlns:ns4="096fecb5-6f21-4288-8627-8a20cb873d83" targetNamespace="http://schemas.microsoft.com/office/2006/metadata/properties" ma:root="true" ma:fieldsID="605231779b0e1b0f600390f426266a8c" ns3:_="" ns4:_="">
    <xsd:import namespace="da11d761-fa28-4f20-9a48-a1b62f739678"/>
    <xsd:import namespace="096fecb5-6f21-4288-8627-8a20cb873d8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ServiceSearchPropertie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11d761-fa28-4f20-9a48-a1b62f7396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fecb5-6f21-4288-8627-8a20cb873d8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a11d761-fa28-4f20-9a48-a1b62f739678" xsi:nil="true"/>
  </documentManagement>
</p:properties>
</file>

<file path=customXml/itemProps1.xml><?xml version="1.0" encoding="utf-8"?>
<ds:datastoreItem xmlns:ds="http://schemas.openxmlformats.org/officeDocument/2006/customXml" ds:itemID="{B67FC5C1-73A2-4029-8660-7D4815A314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11d761-fa28-4f20-9a48-a1b62f739678"/>
    <ds:schemaRef ds:uri="096fecb5-6f21-4288-8627-8a20cb873d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4CAD4C-18DB-4003-993D-7437377F95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87B62D-96B2-4B47-84C5-A38FC9F5E480}">
  <ds:schemaRefs>
    <ds:schemaRef ds:uri="http://schemas.microsoft.com/office/infopath/2007/PartnerControls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da11d761-fa28-4f20-9a48-a1b62f739678"/>
    <ds:schemaRef ds:uri="http://schemas.microsoft.com/office/2006/metadata/properties"/>
    <ds:schemaRef ds:uri="http://schemas.openxmlformats.org/package/2006/metadata/core-properties"/>
    <ds:schemaRef ds:uri="096fecb5-6f21-4288-8627-8a20cb873d8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13</vt:i4>
      </vt:variant>
      <vt:variant>
        <vt:lpstr>Navngivne områder</vt:lpstr>
      </vt:variant>
      <vt:variant>
        <vt:i4>1</vt:i4>
      </vt:variant>
    </vt:vector>
  </HeadingPairs>
  <TitlesOfParts>
    <vt:vector size="14" baseType="lpstr">
      <vt:lpstr>Disclaimer</vt:lpstr>
      <vt:lpstr>Front page</vt:lpstr>
      <vt:lpstr>Notes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'Front page'!Udskriftsområde</vt:lpstr>
    </vt:vector>
  </TitlesOfParts>
  <Company>Ferroperm Piezoceramics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Torsten Bove</dc:creator>
  <cp:lastModifiedBy>Erling Ringgaard</cp:lastModifiedBy>
  <cp:lastPrinted>2002-11-05T10:42:33Z</cp:lastPrinted>
  <dcterms:created xsi:type="dcterms:W3CDTF">2001-07-13T12:04:06Z</dcterms:created>
  <dcterms:modified xsi:type="dcterms:W3CDTF">2024-12-09T16:47:27Z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0x0101008F62E549DA7A644AAE85969E8D3938B8</vt:lpwstr>
  </property>
</Properties>
</file>